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EXT\PJ\"/>
    </mc:Choice>
  </mc:AlternateContent>
  <bookViews>
    <workbookView xWindow="-15" yWindow="3690" windowWidth="9690" windowHeight="3720"/>
  </bookViews>
  <sheets>
    <sheet name="Info" sheetId="180" r:id="rId1"/>
    <sheet name="0 leer" sheetId="184" r:id="rId2"/>
    <sheet name="1_PP 2021" sheetId="181" r:id="rId3"/>
    <sheet name="2b_SP m. RF" sheetId="191" state="hidden" r:id="rId4"/>
    <sheet name="1_PP  2022" sheetId="197" r:id="rId5"/>
    <sheet name="2_SchulP" sheetId="196" r:id="rId6"/>
    <sheet name="3a_ZStmFo_Reg" sheetId="182" r:id="rId7"/>
    <sheet name="3b_ZStmFo_Pau" sheetId="193" r:id="rId8"/>
    <sheet name="4a_ FoAufz.Reg" sheetId="185" r:id="rId9"/>
    <sheet name="4b_ FoAufz.Pau" sheetId="192" r:id="rId10"/>
    <sheet name="4 FoAufz Aukt." sheetId="189" state="hidden" r:id="rId11"/>
    <sheet name="4 FoAufz Aukt. (2)" sheetId="195" state="hidden" r:id="rId12"/>
    <sheet name="5_MwSt." sheetId="179" r:id="rId13"/>
  </sheets>
  <definedNames>
    <definedName name="_xlnm.Print_Area" localSheetId="1">'0 leer'!$B$2:$I$55</definedName>
    <definedName name="_xlnm.Print_Area" localSheetId="4">'1_PP  2022'!$B$2:$J$56</definedName>
    <definedName name="_xlnm.Print_Area" localSheetId="2">'1_PP 2021'!$B$2:$J$56</definedName>
    <definedName name="_xlnm.Print_Area" localSheetId="5">'2_SchulP'!$B$2:$U$59</definedName>
    <definedName name="_xlnm.Print_Area" localSheetId="3">'2b_SP m. RF'!$B$2:$I$54</definedName>
    <definedName name="_xlnm.Print_Area" localSheetId="6">'3a_ZStmFo_Reg'!$B$2:$I$56</definedName>
    <definedName name="_xlnm.Print_Area" localSheetId="7">'3b_ZStmFo_Pau'!$B$2:$I$56</definedName>
    <definedName name="_xlnm.Print_Area" localSheetId="10">'4 FoAufz Aukt.'!$B$2:$I$57</definedName>
    <definedName name="_xlnm.Print_Area" localSheetId="11">'4 FoAufz Aukt. (2)'!$B$2:$I$54</definedName>
    <definedName name="_xlnm.Print_Area" localSheetId="8">'4a_ FoAufz.Reg'!$B$2:$I$58</definedName>
    <definedName name="_xlnm.Print_Area" localSheetId="9">'4b_ FoAufz.Pau'!$B$2:$I$58</definedName>
    <definedName name="_xlnm.Print_Area" localSheetId="12">'5_MwSt.'!$B$2:$H$71</definedName>
  </definedNames>
  <calcPr calcId="162913"/>
</workbook>
</file>

<file path=xl/calcChain.xml><?xml version="1.0" encoding="utf-8"?>
<calcChain xmlns="http://schemas.openxmlformats.org/spreadsheetml/2006/main">
  <c r="I11" i="192" l="1"/>
  <c r="I12" i="192"/>
  <c r="M11" i="192"/>
  <c r="M12" i="192"/>
  <c r="M13" i="192"/>
  <c r="M14" i="192"/>
  <c r="E11" i="192"/>
  <c r="E12" i="192"/>
  <c r="I11" i="193"/>
  <c r="I12" i="193"/>
  <c r="I13" i="193"/>
  <c r="M11" i="193"/>
  <c r="E11" i="193" s="1"/>
  <c r="M12" i="193"/>
  <c r="E12" i="193" s="1"/>
  <c r="M13" i="193"/>
  <c r="E13" i="193" s="1"/>
  <c r="M14" i="193"/>
  <c r="E14" i="193" s="1"/>
  <c r="I10" i="193"/>
  <c r="I10" i="192"/>
  <c r="K6" i="196" l="1"/>
  <c r="D17" i="192"/>
  <c r="D17" i="185"/>
  <c r="F47" i="184"/>
  <c r="F46" i="184"/>
  <c r="F45" i="184"/>
  <c r="M10" i="193" l="1"/>
  <c r="E10" i="193" s="1"/>
  <c r="M10" i="192"/>
  <c r="E10" i="192" s="1"/>
  <c r="E12" i="189"/>
  <c r="I12" i="189" s="1"/>
  <c r="J53" i="182"/>
  <c r="J51" i="184"/>
  <c r="J52" i="184" s="1"/>
  <c r="J52" i="182"/>
  <c r="J52" i="193"/>
  <c r="J53" i="193" s="1"/>
  <c r="M11" i="189"/>
  <c r="E10" i="189" s="1"/>
  <c r="F49" i="189"/>
  <c r="F48" i="189"/>
  <c r="F47" i="189"/>
  <c r="E43" i="189"/>
  <c r="D42" i="189"/>
  <c r="D34" i="196" l="1"/>
  <c r="S9" i="196"/>
  <c r="T9" i="196" s="1"/>
  <c r="S10" i="196"/>
  <c r="T10" i="196" s="1"/>
  <c r="S11" i="196"/>
  <c r="T11" i="196" s="1"/>
  <c r="S12" i="196"/>
  <c r="T12" i="196" s="1"/>
  <c r="S8" i="196"/>
  <c r="D15" i="196"/>
  <c r="M13" i="196"/>
  <c r="O12" i="196"/>
  <c r="P12" i="196" s="1"/>
  <c r="L12" i="196"/>
  <c r="O11" i="196"/>
  <c r="P11" i="196" s="1"/>
  <c r="L11" i="196"/>
  <c r="O10" i="196"/>
  <c r="P10" i="196" s="1"/>
  <c r="Q10" i="196" s="1"/>
  <c r="D10" i="196" s="1"/>
  <c r="L10" i="196"/>
  <c r="O9" i="196"/>
  <c r="P9" i="196" s="1"/>
  <c r="L9" i="196"/>
  <c r="O8" i="196"/>
  <c r="P8" i="196" s="1"/>
  <c r="L8" i="196"/>
  <c r="E13" i="196"/>
  <c r="E10" i="196" l="1"/>
  <c r="R10" i="196" s="1"/>
  <c r="E11" i="196"/>
  <c r="R11" i="196" s="1"/>
  <c r="E14" i="196"/>
  <c r="I14" i="196" s="1"/>
  <c r="E15" i="196"/>
  <c r="E8" i="196"/>
  <c r="R8" i="196" s="1"/>
  <c r="E12" i="196"/>
  <c r="R12" i="196" s="1"/>
  <c r="I13" i="196"/>
  <c r="E9" i="196"/>
  <c r="R9" i="196" s="1"/>
  <c r="U10" i="196"/>
  <c r="S13" i="196"/>
  <c r="T8" i="196"/>
  <c r="P13" i="196"/>
  <c r="O13" i="196"/>
  <c r="Q11" i="196"/>
  <c r="Q12" i="196"/>
  <c r="Q9" i="196"/>
  <c r="Q8" i="196"/>
  <c r="U8" i="196" s="1"/>
  <c r="I10" i="196" l="1"/>
  <c r="I15" i="196"/>
  <c r="E42" i="196"/>
  <c r="D9" i="196"/>
  <c r="I9" i="196" s="1"/>
  <c r="U9" i="196"/>
  <c r="D11" i="196"/>
  <c r="I11" i="196" s="1"/>
  <c r="U11" i="196"/>
  <c r="D12" i="196"/>
  <c r="I12" i="196" s="1"/>
  <c r="U12" i="196"/>
  <c r="T13" i="196"/>
  <c r="D39" i="196" s="1"/>
  <c r="R13" i="196"/>
  <c r="Q13" i="196"/>
  <c r="D8" i="196"/>
  <c r="U13" i="196" l="1"/>
  <c r="F16" i="196" s="1"/>
  <c r="R14" i="196"/>
  <c r="N19" i="196" s="1"/>
  <c r="D16" i="196"/>
  <c r="I8" i="196"/>
  <c r="R16" i="196" l="1"/>
  <c r="J12" i="196"/>
  <c r="I16" i="196"/>
  <c r="E46" i="179" l="1"/>
  <c r="G38" i="179"/>
  <c r="G37" i="179"/>
  <c r="G46" i="179" s="1"/>
  <c r="G51" i="179" l="1"/>
  <c r="E51" i="179" s="1"/>
  <c r="I49" i="197"/>
  <c r="J49" i="197" s="1"/>
  <c r="I48" i="197"/>
  <c r="J48" i="197" s="1"/>
  <c r="F47" i="197"/>
  <c r="I47" i="197" s="1"/>
  <c r="J47" i="197" s="1"/>
  <c r="F46" i="197"/>
  <c r="I46" i="197" s="1"/>
  <c r="J46" i="197" s="1"/>
  <c r="F45" i="197"/>
  <c r="I45" i="197" s="1"/>
  <c r="J45" i="197" s="1"/>
  <c r="I44" i="197"/>
  <c r="J44" i="197" s="1"/>
  <c r="F41" i="197"/>
  <c r="I41" i="197" s="1"/>
  <c r="J41" i="197" s="1"/>
  <c r="F40" i="197"/>
  <c r="I40" i="197" s="1"/>
  <c r="J40" i="197" s="1"/>
  <c r="F39" i="197"/>
  <c r="I39" i="197" s="1"/>
  <c r="J39" i="197" s="1"/>
  <c r="F38" i="197"/>
  <c r="I38" i="197" s="1"/>
  <c r="J38" i="197" s="1"/>
  <c r="F37" i="197"/>
  <c r="I37" i="197" s="1"/>
  <c r="J37" i="197" s="1"/>
  <c r="I36" i="197"/>
  <c r="J36" i="197" s="1"/>
  <c r="F36" i="197"/>
  <c r="F35" i="197"/>
  <c r="I35" i="197" s="1"/>
  <c r="J35" i="197" s="1"/>
  <c r="F34" i="197"/>
  <c r="F33" i="197"/>
  <c r="D33" i="197"/>
  <c r="F32" i="197"/>
  <c r="I32" i="197" s="1"/>
  <c r="J32" i="197" s="1"/>
  <c r="F31" i="197"/>
  <c r="I31" i="197" s="1"/>
  <c r="J31" i="197" s="1"/>
  <c r="I30" i="197"/>
  <c r="J30" i="197" s="1"/>
  <c r="I27" i="197"/>
  <c r="J27" i="197" s="1"/>
  <c r="G27" i="197"/>
  <c r="I26" i="197"/>
  <c r="J26" i="197" s="1"/>
  <c r="G26" i="197"/>
  <c r="I25" i="197"/>
  <c r="G25" i="197"/>
  <c r="I24" i="197"/>
  <c r="J24" i="197" s="1"/>
  <c r="G24" i="197"/>
  <c r="I23" i="197"/>
  <c r="J23" i="197" s="1"/>
  <c r="G23" i="197"/>
  <c r="I22" i="197"/>
  <c r="J22" i="197" s="1"/>
  <c r="G22" i="197"/>
  <c r="I21" i="197"/>
  <c r="J21" i="197" s="1"/>
  <c r="G21" i="197"/>
  <c r="I20" i="197"/>
  <c r="J20" i="197" s="1"/>
  <c r="G20" i="197"/>
  <c r="I19" i="197"/>
  <c r="G19" i="197"/>
  <c r="E13" i="197"/>
  <c r="I13" i="197" s="1"/>
  <c r="J13" i="197" s="1"/>
  <c r="R12" i="197"/>
  <c r="E14" i="197" s="1"/>
  <c r="I14" i="197" s="1"/>
  <c r="J14" i="197" s="1"/>
  <c r="E11" i="197"/>
  <c r="I11" i="197" s="1"/>
  <c r="J11" i="197" s="1"/>
  <c r="E10" i="197"/>
  <c r="I10" i="197" s="1"/>
  <c r="O27" i="192"/>
  <c r="O25" i="192"/>
  <c r="O27" i="189"/>
  <c r="O25" i="189"/>
  <c r="O27" i="185"/>
  <c r="O25" i="185"/>
  <c r="M14" i="185"/>
  <c r="E14" i="185" s="1"/>
  <c r="I14" i="185" s="1"/>
  <c r="M12" i="185"/>
  <c r="E12" i="185" s="1"/>
  <c r="M13" i="185"/>
  <c r="E13" i="185" s="1"/>
  <c r="I13" i="185" s="1"/>
  <c r="N8" i="185"/>
  <c r="M14" i="182"/>
  <c r="E14" i="182"/>
  <c r="E41" i="182" s="1"/>
  <c r="M11" i="182"/>
  <c r="E11" i="182" s="1"/>
  <c r="I11" i="182" s="1"/>
  <c r="M12" i="182"/>
  <c r="E12" i="182" s="1"/>
  <c r="I12" i="182" s="1"/>
  <c r="M13" i="182"/>
  <c r="E13" i="182" s="1"/>
  <c r="I13" i="182" s="1"/>
  <c r="D46" i="196"/>
  <c r="I46" i="196" s="1"/>
  <c r="I51" i="196"/>
  <c r="I50" i="196"/>
  <c r="F49" i="196"/>
  <c r="I49" i="196" s="1"/>
  <c r="F48" i="196"/>
  <c r="I48" i="196" s="1"/>
  <c r="F47" i="196"/>
  <c r="I47" i="196" s="1"/>
  <c r="F42" i="196"/>
  <c r="F41" i="196"/>
  <c r="I41" i="196" s="1"/>
  <c r="F40" i="196"/>
  <c r="I40" i="196" s="1"/>
  <c r="F39" i="196"/>
  <c r="I39" i="196" s="1"/>
  <c r="N20" i="196" s="1"/>
  <c r="N21" i="196" s="1"/>
  <c r="N22" i="196" s="1"/>
  <c r="F38" i="196"/>
  <c r="I38" i="196" s="1"/>
  <c r="F37" i="196"/>
  <c r="I37" i="196" s="1"/>
  <c r="F36" i="196"/>
  <c r="I36" i="196" s="1"/>
  <c r="F35" i="196"/>
  <c r="I35" i="196" s="1"/>
  <c r="F34" i="196"/>
  <c r="I34" i="196" s="1"/>
  <c r="F33" i="196"/>
  <c r="I33" i="196" s="1"/>
  <c r="F32" i="196"/>
  <c r="I32" i="196" s="1"/>
  <c r="I31" i="196"/>
  <c r="I28" i="196"/>
  <c r="G28" i="196"/>
  <c r="I27" i="196"/>
  <c r="G27" i="196"/>
  <c r="I26" i="196"/>
  <c r="G26" i="196"/>
  <c r="I25" i="196"/>
  <c r="G25" i="196"/>
  <c r="I24" i="196"/>
  <c r="G24" i="196"/>
  <c r="I23" i="196"/>
  <c r="G23" i="196"/>
  <c r="I22" i="196"/>
  <c r="G22" i="196"/>
  <c r="I21" i="196"/>
  <c r="G21" i="196"/>
  <c r="I20" i="196"/>
  <c r="G20" i="196"/>
  <c r="D18" i="196"/>
  <c r="I18" i="196" s="1"/>
  <c r="F46" i="181"/>
  <c r="I46" i="181" s="1"/>
  <c r="J46" i="181" s="1"/>
  <c r="F47" i="181"/>
  <c r="I47" i="181" s="1"/>
  <c r="J47" i="181" s="1"/>
  <c r="F45" i="181"/>
  <c r="I45" i="181" s="1"/>
  <c r="J45" i="181" s="1"/>
  <c r="F47" i="191"/>
  <c r="F46" i="191"/>
  <c r="F45" i="191"/>
  <c r="F48" i="193"/>
  <c r="F47" i="193"/>
  <c r="I47" i="193" s="1"/>
  <c r="F46" i="193"/>
  <c r="F48" i="182"/>
  <c r="I48" i="182" s="1"/>
  <c r="F47" i="182"/>
  <c r="I47" i="182" s="1"/>
  <c r="F46" i="182"/>
  <c r="I46" i="182" s="1"/>
  <c r="F49" i="185"/>
  <c r="F50" i="185"/>
  <c r="F49" i="192"/>
  <c r="F50" i="192"/>
  <c r="F48" i="185"/>
  <c r="F48" i="192"/>
  <c r="K14" i="184"/>
  <c r="E14" i="184" s="1"/>
  <c r="K13" i="184"/>
  <c r="E13" i="184"/>
  <c r="I13" i="184" s="1"/>
  <c r="K12" i="184"/>
  <c r="E12" i="184" s="1"/>
  <c r="I12" i="184" s="1"/>
  <c r="K11" i="184"/>
  <c r="E11" i="184" s="1"/>
  <c r="I11" i="184" s="1"/>
  <c r="K10" i="184"/>
  <c r="I49" i="195"/>
  <c r="E41" i="195"/>
  <c r="D40" i="195"/>
  <c r="I40" i="195" s="1"/>
  <c r="I38" i="195"/>
  <c r="F30" i="195"/>
  <c r="F39" i="195" s="1"/>
  <c r="I39" i="195" s="1"/>
  <c r="I19" i="195"/>
  <c r="G19" i="195"/>
  <c r="I17" i="195"/>
  <c r="M15" i="195"/>
  <c r="I14" i="195"/>
  <c r="M13" i="195"/>
  <c r="E10" i="195" s="1"/>
  <c r="I13" i="195"/>
  <c r="M12" i="195"/>
  <c r="I11" i="195"/>
  <c r="C8" i="195"/>
  <c r="F23" i="195" s="1"/>
  <c r="C5" i="195"/>
  <c r="I47" i="195" s="1"/>
  <c r="I46" i="195"/>
  <c r="E41" i="192"/>
  <c r="I41" i="192" s="1"/>
  <c r="C6" i="195"/>
  <c r="F21" i="195"/>
  <c r="F26" i="195"/>
  <c r="F31" i="195"/>
  <c r="I31" i="195" s="1"/>
  <c r="F33" i="195"/>
  <c r="I33" i="195" s="1"/>
  <c r="F35" i="195"/>
  <c r="I35" i="195"/>
  <c r="F37" i="195"/>
  <c r="I37" i="195"/>
  <c r="F41" i="195"/>
  <c r="I41" i="195"/>
  <c r="I44" i="195"/>
  <c r="I48" i="195"/>
  <c r="I45" i="195"/>
  <c r="I50" i="195" s="1"/>
  <c r="F32" i="195"/>
  <c r="I32" i="195"/>
  <c r="F34" i="195"/>
  <c r="I34" i="195"/>
  <c r="I26" i="195"/>
  <c r="G26" i="195"/>
  <c r="I21" i="195"/>
  <c r="G21" i="195"/>
  <c r="C9" i="195"/>
  <c r="F20" i="195" s="1"/>
  <c r="F24" i="195"/>
  <c r="F27" i="195"/>
  <c r="G27" i="195" s="1"/>
  <c r="F22" i="195"/>
  <c r="G22" i="195" s="1"/>
  <c r="I27" i="195"/>
  <c r="G24" i="195"/>
  <c r="I24" i="195"/>
  <c r="I22" i="195"/>
  <c r="D38" i="191"/>
  <c r="G38" i="191"/>
  <c r="E13" i="191"/>
  <c r="I47" i="184"/>
  <c r="I47" i="191"/>
  <c r="I46" i="184"/>
  <c r="I46" i="191"/>
  <c r="I45" i="184"/>
  <c r="I45" i="191"/>
  <c r="I50" i="193"/>
  <c r="I49" i="193"/>
  <c r="I45" i="193"/>
  <c r="F41" i="193"/>
  <c r="F40" i="193"/>
  <c r="F39" i="193"/>
  <c r="F38" i="193"/>
  <c r="I38" i="193" s="1"/>
  <c r="F37" i="193"/>
  <c r="I37" i="193"/>
  <c r="F36" i="193"/>
  <c r="I36" i="193" s="1"/>
  <c r="F35" i="193"/>
  <c r="I35" i="193"/>
  <c r="F34" i="193"/>
  <c r="F33" i="193"/>
  <c r="D33" i="193"/>
  <c r="F32" i="193"/>
  <c r="I32" i="193" s="1"/>
  <c r="F31" i="193"/>
  <c r="I30" i="193"/>
  <c r="G27" i="193"/>
  <c r="I26" i="193"/>
  <c r="G26" i="193"/>
  <c r="G25" i="193"/>
  <c r="I25" i="193"/>
  <c r="G24" i="193"/>
  <c r="G23" i="193"/>
  <c r="I23" i="193"/>
  <c r="I22" i="193"/>
  <c r="G22" i="193"/>
  <c r="G21" i="193"/>
  <c r="G20" i="193"/>
  <c r="G19" i="193"/>
  <c r="I19" i="193"/>
  <c r="D17" i="193"/>
  <c r="I20" i="193"/>
  <c r="I24" i="193"/>
  <c r="D14" i="193"/>
  <c r="I14" i="193" s="1"/>
  <c r="E43" i="192"/>
  <c r="D42" i="192"/>
  <c r="I42" i="192" s="1"/>
  <c r="I39" i="192"/>
  <c r="I19" i="192"/>
  <c r="G19" i="192"/>
  <c r="I17" i="192"/>
  <c r="I14" i="192"/>
  <c r="I13" i="192"/>
  <c r="C8" i="192"/>
  <c r="F23" i="192" s="1"/>
  <c r="I23" i="192" s="1"/>
  <c r="C5" i="192"/>
  <c r="I49" i="181"/>
  <c r="I49" i="191"/>
  <c r="I50" i="182"/>
  <c r="I49" i="184"/>
  <c r="D39" i="191"/>
  <c r="I38" i="191"/>
  <c r="I13" i="191"/>
  <c r="I48" i="191"/>
  <c r="I44" i="191"/>
  <c r="F41" i="191"/>
  <c r="E41" i="191"/>
  <c r="I41" i="191"/>
  <c r="F40" i="191"/>
  <c r="I40" i="191"/>
  <c r="F39" i="191"/>
  <c r="I39" i="191"/>
  <c r="F38" i="191"/>
  <c r="I37" i="191"/>
  <c r="F37" i="191"/>
  <c r="I36" i="191"/>
  <c r="F36" i="191"/>
  <c r="I35" i="191"/>
  <c r="F35" i="191"/>
  <c r="I34" i="191"/>
  <c r="F34" i="191"/>
  <c r="F33" i="191"/>
  <c r="D33" i="191"/>
  <c r="I33" i="191"/>
  <c r="F32" i="191"/>
  <c r="I32" i="191"/>
  <c r="F31" i="191"/>
  <c r="I31" i="191"/>
  <c r="I30" i="191"/>
  <c r="I27" i="191"/>
  <c r="G27" i="191"/>
  <c r="I26" i="191"/>
  <c r="G26" i="191"/>
  <c r="I25" i="191"/>
  <c r="G25" i="191"/>
  <c r="I24" i="191"/>
  <c r="G24" i="191"/>
  <c r="I23" i="191"/>
  <c r="G23" i="191"/>
  <c r="I22" i="191"/>
  <c r="G22" i="191"/>
  <c r="I21" i="191"/>
  <c r="G21" i="191"/>
  <c r="I20" i="191"/>
  <c r="G20" i="191"/>
  <c r="I19" i="191"/>
  <c r="M24" i="191"/>
  <c r="G19" i="191"/>
  <c r="I17" i="191"/>
  <c r="I42" i="191" s="1"/>
  <c r="F54" i="191" s="1"/>
  <c r="I54" i="191" s="1"/>
  <c r="D17" i="191"/>
  <c r="E14" i="191"/>
  <c r="D14" i="191"/>
  <c r="I14" i="191"/>
  <c r="N12" i="191"/>
  <c r="I12" i="191"/>
  <c r="E12" i="191"/>
  <c r="I11" i="191"/>
  <c r="E11" i="191"/>
  <c r="E10" i="191"/>
  <c r="I10" i="191" s="1"/>
  <c r="I15" i="191" s="1"/>
  <c r="C8" i="185"/>
  <c r="F27" i="185" s="1"/>
  <c r="I27" i="185" s="1"/>
  <c r="C8" i="189"/>
  <c r="E43" i="185"/>
  <c r="C5" i="189"/>
  <c r="I47" i="189" s="1"/>
  <c r="C5" i="185"/>
  <c r="I14" i="189"/>
  <c r="F41" i="181"/>
  <c r="I41" i="181"/>
  <c r="J41" i="181" s="1"/>
  <c r="I17" i="184"/>
  <c r="G19" i="184"/>
  <c r="I19" i="184"/>
  <c r="G20" i="184"/>
  <c r="I20" i="184"/>
  <c r="G21" i="184"/>
  <c r="I21" i="184"/>
  <c r="G22" i="184"/>
  <c r="I22" i="184"/>
  <c r="G23" i="184"/>
  <c r="I23" i="184"/>
  <c r="G24" i="184"/>
  <c r="I24" i="184"/>
  <c r="G25" i="184"/>
  <c r="I25" i="184"/>
  <c r="G26" i="184"/>
  <c r="I26" i="184"/>
  <c r="N26" i="184"/>
  <c r="G27" i="184"/>
  <c r="I27" i="184"/>
  <c r="I30" i="184"/>
  <c r="I31" i="184"/>
  <c r="I32" i="184"/>
  <c r="I33" i="184"/>
  <c r="I34" i="184"/>
  <c r="I35" i="184"/>
  <c r="I36" i="184"/>
  <c r="I37" i="184"/>
  <c r="I38" i="184"/>
  <c r="I39" i="184"/>
  <c r="I40" i="184"/>
  <c r="I44" i="184"/>
  <c r="I48" i="184"/>
  <c r="R12" i="181"/>
  <c r="E14" i="181" s="1"/>
  <c r="I14" i="181" s="1"/>
  <c r="J14" i="181" s="1"/>
  <c r="G19" i="181"/>
  <c r="I19" i="181"/>
  <c r="J19" i="181"/>
  <c r="G20" i="181"/>
  <c r="I20" i="181"/>
  <c r="J20" i="181" s="1"/>
  <c r="G21" i="181"/>
  <c r="I21" i="181"/>
  <c r="J21" i="181" s="1"/>
  <c r="G22" i="181"/>
  <c r="I22" i="181"/>
  <c r="J22" i="181" s="1"/>
  <c r="G23" i="181"/>
  <c r="I23" i="181"/>
  <c r="J23" i="181"/>
  <c r="G24" i="181"/>
  <c r="I24" i="181"/>
  <c r="J24" i="181" s="1"/>
  <c r="G25" i="181"/>
  <c r="I25" i="181"/>
  <c r="J25" i="181" s="1"/>
  <c r="G26" i="181"/>
  <c r="I26" i="181"/>
  <c r="N26" i="181" s="1"/>
  <c r="G27" i="181"/>
  <c r="I27" i="181"/>
  <c r="J27" i="181" s="1"/>
  <c r="I30" i="181"/>
  <c r="J30" i="181" s="1"/>
  <c r="F31" i="181"/>
  <c r="I31" i="181" s="1"/>
  <c r="J31" i="181" s="1"/>
  <c r="F32" i="181"/>
  <c r="I32" i="181" s="1"/>
  <c r="J32" i="181" s="1"/>
  <c r="D33" i="181"/>
  <c r="F33" i="181"/>
  <c r="F34" i="181"/>
  <c r="I34" i="181" s="1"/>
  <c r="J34" i="181" s="1"/>
  <c r="F35" i="181"/>
  <c r="I35" i="181" s="1"/>
  <c r="J35" i="181" s="1"/>
  <c r="F36" i="181"/>
  <c r="I36" i="181" s="1"/>
  <c r="J36" i="181" s="1"/>
  <c r="F37" i="181"/>
  <c r="I37" i="181"/>
  <c r="J37" i="181" s="1"/>
  <c r="F38" i="181"/>
  <c r="I38" i="181"/>
  <c r="J38" i="181" s="1"/>
  <c r="F39" i="181"/>
  <c r="I39" i="181" s="1"/>
  <c r="J39" i="181" s="1"/>
  <c r="F40" i="181"/>
  <c r="I40" i="181" s="1"/>
  <c r="J40" i="181" s="1"/>
  <c r="I44" i="181"/>
  <c r="J44" i="181" s="1"/>
  <c r="I48" i="181"/>
  <c r="J48" i="181" s="1"/>
  <c r="M10" i="182"/>
  <c r="E10" i="182" s="1"/>
  <c r="I10" i="182" s="1"/>
  <c r="D14" i="182"/>
  <c r="I14" i="182" s="1"/>
  <c r="D17" i="182"/>
  <c r="I17" i="182" s="1"/>
  <c r="G19" i="182"/>
  <c r="I19" i="182"/>
  <c r="G20" i="182"/>
  <c r="I20" i="182"/>
  <c r="G21" i="182"/>
  <c r="I21" i="182"/>
  <c r="G22" i="182"/>
  <c r="I22" i="182"/>
  <c r="G23" i="182"/>
  <c r="I23" i="182"/>
  <c r="G24" i="182"/>
  <c r="I24" i="182"/>
  <c r="G25" i="182"/>
  <c r="I25" i="182"/>
  <c r="G26" i="182"/>
  <c r="I26" i="182"/>
  <c r="G27" i="182"/>
  <c r="I27" i="182"/>
  <c r="I30" i="182"/>
  <c r="F31" i="182"/>
  <c r="I31" i="182" s="1"/>
  <c r="F32" i="182"/>
  <c r="I32" i="182" s="1"/>
  <c r="D33" i="182"/>
  <c r="I33" i="182" s="1"/>
  <c r="F33" i="182"/>
  <c r="F34" i="182"/>
  <c r="I34" i="182" s="1"/>
  <c r="F35" i="182"/>
  <c r="I35" i="182" s="1"/>
  <c r="F36" i="182"/>
  <c r="I36" i="182" s="1"/>
  <c r="F37" i="182"/>
  <c r="I37" i="182" s="1"/>
  <c r="F38" i="182"/>
  <c r="I38" i="182" s="1"/>
  <c r="F39" i="182"/>
  <c r="I39" i="182" s="1"/>
  <c r="F40" i="182"/>
  <c r="I40" i="182" s="1"/>
  <c r="F41" i="182"/>
  <c r="I45" i="182"/>
  <c r="I49" i="182"/>
  <c r="M11" i="185"/>
  <c r="E11" i="185" s="1"/>
  <c r="I11" i="185" s="1"/>
  <c r="M10" i="185"/>
  <c r="E10" i="185" s="1"/>
  <c r="I10" i="185" s="1"/>
  <c r="I17" i="185"/>
  <c r="I39" i="185"/>
  <c r="D42" i="185"/>
  <c r="I42" i="185" s="1"/>
  <c r="M12" i="189"/>
  <c r="M10" i="189"/>
  <c r="I17" i="189"/>
  <c r="I39" i="189"/>
  <c r="I42" i="189"/>
  <c r="I11" i="189"/>
  <c r="I13" i="189"/>
  <c r="I12" i="185"/>
  <c r="E10" i="181"/>
  <c r="I10" i="181" s="1"/>
  <c r="J10" i="181" s="1"/>
  <c r="I19" i="189"/>
  <c r="G19" i="189"/>
  <c r="G19" i="185"/>
  <c r="I19" i="185"/>
  <c r="I50" i="191"/>
  <c r="I17" i="193"/>
  <c r="I21" i="193"/>
  <c r="I27" i="193"/>
  <c r="I39" i="193"/>
  <c r="C6" i="192"/>
  <c r="F25" i="192" s="1"/>
  <c r="F21" i="192"/>
  <c r="G21" i="192" s="1"/>
  <c r="I48" i="192"/>
  <c r="J49" i="181"/>
  <c r="F28" i="192"/>
  <c r="G28" i="192" s="1"/>
  <c r="G27" i="185"/>
  <c r="I46" i="193"/>
  <c r="I40" i="193"/>
  <c r="I33" i="193"/>
  <c r="I28" i="192"/>
  <c r="C9" i="192"/>
  <c r="F22" i="192" s="1"/>
  <c r="G22" i="192" s="1"/>
  <c r="I49" i="189"/>
  <c r="I51" i="192"/>
  <c r="G23" i="192"/>
  <c r="I50" i="189"/>
  <c r="I33" i="181"/>
  <c r="J33" i="181"/>
  <c r="I48" i="193"/>
  <c r="E13" i="181"/>
  <c r="I13" i="181" s="1"/>
  <c r="J13" i="181" s="1"/>
  <c r="I31" i="193"/>
  <c r="I34" i="193"/>
  <c r="E12" i="181"/>
  <c r="I12" i="181" s="1"/>
  <c r="J12" i="181" s="1"/>
  <c r="E10" i="184"/>
  <c r="I10" i="184" s="1"/>
  <c r="I50" i="181"/>
  <c r="E11" i="181"/>
  <c r="I11" i="181" s="1"/>
  <c r="J11" i="181" s="1"/>
  <c r="G20" i="195" l="1"/>
  <c r="I20" i="195"/>
  <c r="I23" i="195"/>
  <c r="G23" i="195"/>
  <c r="I10" i="195"/>
  <c r="I15" i="195" s="1"/>
  <c r="E12" i="195"/>
  <c r="I12" i="195" s="1"/>
  <c r="I43" i="191"/>
  <c r="I51" i="191" s="1"/>
  <c r="I52" i="191" s="1"/>
  <c r="I53" i="191" s="1"/>
  <c r="F25" i="195"/>
  <c r="F36" i="195"/>
  <c r="I36" i="195" s="1"/>
  <c r="I30" i="195"/>
  <c r="I50" i="192"/>
  <c r="G25" i="192"/>
  <c r="I25" i="192"/>
  <c r="I14" i="184"/>
  <c r="I15" i="184" s="1"/>
  <c r="E41" i="184"/>
  <c r="I41" i="184" s="1"/>
  <c r="I42" i="184" s="1"/>
  <c r="I50" i="184"/>
  <c r="F55" i="184" s="1"/>
  <c r="I55" i="184" s="1"/>
  <c r="I15" i="185"/>
  <c r="E41" i="185"/>
  <c r="I41" i="185" s="1"/>
  <c r="I21" i="192"/>
  <c r="F33" i="185"/>
  <c r="I33" i="185" s="1"/>
  <c r="F37" i="185"/>
  <c r="I37" i="185" s="1"/>
  <c r="I50" i="185"/>
  <c r="I48" i="185"/>
  <c r="I52" i="185"/>
  <c r="F34" i="185"/>
  <c r="I34" i="185" s="1"/>
  <c r="F38" i="185"/>
  <c r="I38" i="185" s="1"/>
  <c r="F31" i="185"/>
  <c r="I49" i="185"/>
  <c r="C6" i="185"/>
  <c r="F35" i="185"/>
  <c r="I35" i="185" s="1"/>
  <c r="F32" i="185"/>
  <c r="I32" i="185" s="1"/>
  <c r="F36" i="185"/>
  <c r="I36" i="185" s="1"/>
  <c r="I51" i="185"/>
  <c r="F27" i="189"/>
  <c r="F21" i="189"/>
  <c r="F23" i="189"/>
  <c r="F34" i="192"/>
  <c r="I34" i="192" s="1"/>
  <c r="F38" i="192"/>
  <c r="I38" i="192" s="1"/>
  <c r="I47" i="192"/>
  <c r="F35" i="192"/>
  <c r="I35" i="192" s="1"/>
  <c r="I52" i="192"/>
  <c r="F32" i="192"/>
  <c r="I32" i="192" s="1"/>
  <c r="F36" i="192"/>
  <c r="I36" i="192" s="1"/>
  <c r="F31" i="192"/>
  <c r="F33" i="192"/>
  <c r="I33" i="192" s="1"/>
  <c r="F37" i="192"/>
  <c r="I37" i="192" s="1"/>
  <c r="I49" i="192"/>
  <c r="F20" i="192"/>
  <c r="I22" i="192"/>
  <c r="F24" i="192"/>
  <c r="N24" i="184"/>
  <c r="I42" i="181"/>
  <c r="F26" i="192"/>
  <c r="I47" i="185"/>
  <c r="I53" i="185" s="1"/>
  <c r="F38" i="189"/>
  <c r="I38" i="189" s="1"/>
  <c r="F34" i="189"/>
  <c r="I34" i="189" s="1"/>
  <c r="F36" i="189"/>
  <c r="I36" i="189" s="1"/>
  <c r="F37" i="189"/>
  <c r="I37" i="189" s="1"/>
  <c r="F33" i="189"/>
  <c r="I33" i="189" s="1"/>
  <c r="F32" i="189"/>
  <c r="I32" i="189" s="1"/>
  <c r="F35" i="189"/>
  <c r="I35" i="189" s="1"/>
  <c r="F31" i="189"/>
  <c r="I46" i="189"/>
  <c r="I52" i="189" s="1"/>
  <c r="I33" i="197"/>
  <c r="J33" i="197" s="1"/>
  <c r="I15" i="193"/>
  <c r="I41" i="182"/>
  <c r="I42" i="182" s="1"/>
  <c r="C6" i="189"/>
  <c r="N26" i="193"/>
  <c r="I15" i="192"/>
  <c r="I51" i="189"/>
  <c r="E12" i="197"/>
  <c r="I12" i="197" s="1"/>
  <c r="J12" i="197" s="1"/>
  <c r="N26" i="182"/>
  <c r="I15" i="182"/>
  <c r="F23" i="185"/>
  <c r="F21" i="185"/>
  <c r="F27" i="192"/>
  <c r="I48" i="189"/>
  <c r="I51" i="193"/>
  <c r="I10" i="189"/>
  <c r="I51" i="182"/>
  <c r="N24" i="193"/>
  <c r="E41" i="193"/>
  <c r="I41" i="193" s="1"/>
  <c r="I42" i="193" s="1"/>
  <c r="E44" i="193" s="1"/>
  <c r="N24" i="182"/>
  <c r="N24" i="181"/>
  <c r="J50" i="181"/>
  <c r="I42" i="196"/>
  <c r="I43" i="196" s="1"/>
  <c r="J27" i="196"/>
  <c r="I52" i="196"/>
  <c r="J25" i="196"/>
  <c r="J26" i="181"/>
  <c r="J42" i="181" s="1"/>
  <c r="N26" i="197"/>
  <c r="I34" i="197"/>
  <c r="J34" i="197" s="1"/>
  <c r="N24" i="197"/>
  <c r="J50" i="197"/>
  <c r="I15" i="197"/>
  <c r="J10" i="197"/>
  <c r="J15" i="197" s="1"/>
  <c r="I50" i="197"/>
  <c r="J25" i="197"/>
  <c r="J19" i="197"/>
  <c r="J15" i="181"/>
  <c r="I15" i="181"/>
  <c r="I43" i="181" l="1"/>
  <c r="I52" i="181"/>
  <c r="J51" i="181"/>
  <c r="J52" i="181" s="1"/>
  <c r="I53" i="192"/>
  <c r="I25" i="195"/>
  <c r="I42" i="195" s="1"/>
  <c r="G25" i="195"/>
  <c r="L25" i="195"/>
  <c r="I55" i="181"/>
  <c r="I56" i="181" s="1"/>
  <c r="I51" i="181"/>
  <c r="I52" i="182"/>
  <c r="E44" i="182"/>
  <c r="I43" i="184"/>
  <c r="I52" i="193"/>
  <c r="I53" i="182"/>
  <c r="J55" i="181"/>
  <c r="J56" i="181" s="1"/>
  <c r="I51" i="184"/>
  <c r="I52" i="184" s="1"/>
  <c r="I53" i="184" s="1"/>
  <c r="I54" i="184" s="1"/>
  <c r="I44" i="196"/>
  <c r="I53" i="196"/>
  <c r="I54" i="196" s="1"/>
  <c r="I55" i="196" s="1"/>
  <c r="F58" i="196" s="1"/>
  <c r="I58" i="196" s="1"/>
  <c r="I15" i="189"/>
  <c r="E41" i="189"/>
  <c r="I41" i="189" s="1"/>
  <c r="I53" i="193"/>
  <c r="G27" i="192"/>
  <c r="I27" i="192"/>
  <c r="I26" i="192"/>
  <c r="G26" i="192"/>
  <c r="G24" i="192"/>
  <c r="I24" i="192"/>
  <c r="I21" i="185"/>
  <c r="G21" i="185"/>
  <c r="C9" i="189"/>
  <c r="F25" i="189"/>
  <c r="F28" i="189"/>
  <c r="F28" i="185"/>
  <c r="F25" i="185"/>
  <c r="C9" i="185"/>
  <c r="I27" i="189"/>
  <c r="G27" i="189"/>
  <c r="F56" i="182"/>
  <c r="I56" i="182" s="1"/>
  <c r="I23" i="185"/>
  <c r="G23" i="185"/>
  <c r="F43" i="189"/>
  <c r="I43" i="189" s="1"/>
  <c r="F40" i="189"/>
  <c r="I40" i="189" s="1"/>
  <c r="I31" i="189"/>
  <c r="G20" i="192"/>
  <c r="I20" i="192"/>
  <c r="F40" i="192"/>
  <c r="I40" i="192" s="1"/>
  <c r="F43" i="192"/>
  <c r="I43" i="192" s="1"/>
  <c r="I31" i="192"/>
  <c r="I23" i="189"/>
  <c r="G23" i="189"/>
  <c r="I21" i="189"/>
  <c r="G21" i="189"/>
  <c r="F40" i="185"/>
  <c r="I40" i="185" s="1"/>
  <c r="F43" i="185"/>
  <c r="I43" i="185" s="1"/>
  <c r="I31" i="185"/>
  <c r="I56" i="193"/>
  <c r="F56" i="193" s="1"/>
  <c r="I43" i="193"/>
  <c r="I43" i="182"/>
  <c r="I42" i="197"/>
  <c r="J42" i="197"/>
  <c r="J55" i="197" s="1"/>
  <c r="J56" i="197" s="1"/>
  <c r="J43" i="181"/>
  <c r="J53" i="181" s="1"/>
  <c r="J54" i="181" s="1"/>
  <c r="F54" i="195" l="1"/>
  <c r="I54" i="195" s="1"/>
  <c r="I43" i="195"/>
  <c r="I51" i="195" s="1"/>
  <c r="I52" i="195" s="1"/>
  <c r="I53" i="195" s="1"/>
  <c r="I43" i="197"/>
  <c r="I53" i="197" s="1"/>
  <c r="I54" i="197" s="1"/>
  <c r="I51" i="197"/>
  <c r="I52" i="197" s="1"/>
  <c r="I55" i="197"/>
  <c r="I56" i="197" s="1"/>
  <c r="N27" i="192"/>
  <c r="I53" i="181"/>
  <c r="I54" i="181" s="1"/>
  <c r="J51" i="197"/>
  <c r="J52" i="197" s="1"/>
  <c r="I54" i="182"/>
  <c r="I55" i="182" s="1"/>
  <c r="I54" i="193"/>
  <c r="I55" i="193" s="1"/>
  <c r="G25" i="185"/>
  <c r="I25" i="185"/>
  <c r="N25" i="192"/>
  <c r="I44" i="192"/>
  <c r="I54" i="192" s="1"/>
  <c r="I28" i="185"/>
  <c r="G28" i="185"/>
  <c r="F24" i="189"/>
  <c r="F26" i="189"/>
  <c r="F20" i="189"/>
  <c r="F22" i="189"/>
  <c r="I28" i="189"/>
  <c r="G28" i="189"/>
  <c r="F26" i="185"/>
  <c r="F22" i="185"/>
  <c r="F24" i="185"/>
  <c r="F20" i="185"/>
  <c r="G25" i="189"/>
  <c r="I25" i="189"/>
  <c r="I56" i="196"/>
  <c r="I57" i="196" s="1"/>
  <c r="N23" i="196"/>
  <c r="N24" i="196" s="1"/>
  <c r="K59" i="196" s="1"/>
  <c r="J59" i="196" s="1"/>
  <c r="J43" i="197"/>
  <c r="J53" i="197" s="1"/>
  <c r="J54" i="197" s="1"/>
  <c r="I55" i="192" l="1"/>
  <c r="I58" i="192"/>
  <c r="G26" i="189"/>
  <c r="I26" i="189"/>
  <c r="N27" i="189" s="1"/>
  <c r="I46" i="192"/>
  <c r="I56" i="192" s="1"/>
  <c r="I57" i="192" s="1"/>
  <c r="F58" i="192"/>
  <c r="I20" i="185"/>
  <c r="G20" i="185"/>
  <c r="G24" i="185"/>
  <c r="I24" i="185"/>
  <c r="G24" i="189"/>
  <c r="I24" i="189"/>
  <c r="I26" i="185"/>
  <c r="N27" i="185" s="1"/>
  <c r="G26" i="185"/>
  <c r="I20" i="189"/>
  <c r="G20" i="189"/>
  <c r="G22" i="185"/>
  <c r="I22" i="185"/>
  <c r="G22" i="189"/>
  <c r="I22" i="189"/>
  <c r="I59" i="196"/>
  <c r="N25" i="189" l="1"/>
  <c r="I44" i="189"/>
  <c r="I53" i="189" s="1"/>
  <c r="N25" i="185"/>
  <c r="I44" i="185"/>
  <c r="G45" i="185" s="1"/>
  <c r="I54" i="185" l="1"/>
  <c r="F57" i="189"/>
  <c r="I57" i="189" s="1"/>
  <c r="I54" i="189"/>
  <c r="I45" i="189"/>
  <c r="I46" i="185"/>
  <c r="I55" i="185" l="1"/>
  <c r="F58" i="185"/>
  <c r="I58" i="185" s="1"/>
  <c r="I56" i="185"/>
  <c r="I57" i="185" s="1"/>
  <c r="I55" i="189"/>
  <c r="I56" i="189" s="1"/>
</calcChain>
</file>

<file path=xl/comments1.xml><?xml version="1.0" encoding="utf-8"?>
<comments xmlns="http://schemas.openxmlformats.org/spreadsheetml/2006/main">
  <authors>
    <author>Segger, Volker (LEL)</author>
    <author>seggerv</author>
  </authors>
  <commentList>
    <comment ref="F6" authorId="0" shapeId="0">
      <text>
        <r>
          <rPr>
            <sz val="11"/>
            <color indexed="81"/>
            <rFont val="Tahoma"/>
            <family val="2"/>
          </rPr>
          <t xml:space="preserve">brutto = inkl. Mwst.
</t>
        </r>
      </text>
    </comment>
    <comment ref="G6" authorId="0" shapeId="0">
      <text>
        <r>
          <rPr>
            <sz val="9"/>
            <color indexed="81"/>
            <rFont val="Tahoma"/>
            <family val="2"/>
          </rPr>
          <t>siehe rechts in Spalte M. Vorschlagswert kann überschrieben werden.</t>
        </r>
      </text>
    </comment>
    <comment ref="E16" authorId="0" shapeId="0">
      <text>
        <r>
          <rPr>
            <sz val="10"/>
            <color indexed="81"/>
            <rFont val="Tahoma"/>
            <family val="2"/>
          </rPr>
          <t xml:space="preserve">Beim Regelbesteuerer Nettowerte, beim Pauschalierer Bruttowerte eingeben.
</t>
        </r>
      </text>
    </comment>
    <comment ref="D41" authorId="1" shapeId="0">
      <text>
        <r>
          <rPr>
            <sz val="12"/>
            <color indexed="81"/>
            <rFont val="Tahoma"/>
            <family val="2"/>
          </rPr>
          <t xml:space="preserve">Zinssatz
</t>
        </r>
      </text>
    </comment>
    <comment ref="E41" authorId="0" shapeId="0">
      <text>
        <r>
          <rPr>
            <sz val="12"/>
            <color indexed="81"/>
            <rFont val="Tahoma"/>
            <family val="2"/>
          </rPr>
          <t>Durchschnitt aus Anfangswert und Endwert</t>
        </r>
      </text>
    </comment>
    <comment ref="D44" authorId="0" shapeId="0">
      <text>
        <r>
          <rPr>
            <sz val="11"/>
            <color indexed="81"/>
            <rFont val="Tahoma"/>
            <family val="2"/>
          </rPr>
          <t xml:space="preserve">Ohne Arbeitsstunden, die bereits bei den variablen Kosten (Zeile 38) berücksichtigt wurden.
</t>
        </r>
      </text>
    </comment>
    <comment ref="F45" authorId="0" shapeId="0">
      <text>
        <r>
          <rPr>
            <sz val="11"/>
            <color indexed="81"/>
            <rFont val="Tahoma"/>
            <family val="2"/>
          </rPr>
          <t>Eingabe in Spalten K, L und N</t>
        </r>
      </text>
    </comment>
    <comment ref="F46" authorId="0" shapeId="0">
      <text>
        <r>
          <rPr>
            <sz val="11"/>
            <color indexed="81"/>
            <rFont val="Tahoma"/>
            <family val="2"/>
          </rPr>
          <t>Eingabe in Spalten K, L und N</t>
        </r>
      </text>
    </comment>
    <comment ref="D47" authorId="0" shapeId="0">
      <text>
        <r>
          <rPr>
            <sz val="10"/>
            <color indexed="81"/>
            <rFont val="Tahoma"/>
            <family val="2"/>
          </rPr>
          <t xml:space="preserve">Nur Maschinen, die unmittelbar der Pferdehaltung zugeordnet werden können (z.B. Hoflader, Miststreuer, Haferquetsche, Bahnebner).
</t>
        </r>
      </text>
    </comment>
    <comment ref="F47" authorId="0" shapeId="0">
      <text>
        <r>
          <rPr>
            <sz val="11"/>
            <color indexed="81"/>
            <rFont val="Tahoma"/>
            <family val="2"/>
          </rPr>
          <t>Eingabe in Spalten K, L und N</t>
        </r>
      </text>
    </comment>
    <comment ref="N47" authorId="1" shapeId="0">
      <text>
        <r>
          <rPr>
            <sz val="9"/>
            <color indexed="81"/>
            <rFont val="Tahoma"/>
            <family val="2"/>
          </rPr>
          <t>Unterhaltungskosten bei Maschinen sind variable Kosten. .</t>
        </r>
      </text>
    </comment>
    <comment ref="D49" authorId="0" shapeId="0">
      <text>
        <r>
          <rPr>
            <sz val="11"/>
            <color indexed="81"/>
            <rFont val="Tahoma"/>
            <family val="2"/>
          </rPr>
          <t xml:space="preserve">z.B. allg. Versicherungen, Buchführung, betriebl. PKW-Anteil
</t>
        </r>
      </text>
    </comment>
  </commentList>
</comments>
</file>

<file path=xl/comments10.xml><?xml version="1.0" encoding="utf-8"?>
<comments xmlns="http://schemas.openxmlformats.org/spreadsheetml/2006/main">
  <authors>
    <author>Segger, Volker (LEL)</author>
    <author>seggerv</author>
  </authors>
  <commentList>
    <comment ref="E16" authorId="0" shapeId="0">
      <text>
        <r>
          <rPr>
            <sz val="10"/>
            <color indexed="81"/>
            <rFont val="Tahoma"/>
            <family val="2"/>
          </rPr>
          <t xml:space="preserve">Beim Regelbesteuerer Nettowerte, beim Pauschalierer Bruttowerte eingeben.
</t>
        </r>
      </text>
    </comment>
    <comment ref="E39" authorId="0" shapeId="0">
      <text>
        <r>
          <rPr>
            <sz val="11"/>
            <color indexed="81"/>
            <rFont val="Tahoma"/>
            <family val="2"/>
          </rPr>
          <t xml:space="preserve">Kosten je Monat </t>
        </r>
      </text>
    </comment>
    <comment ref="E43" authorId="0" shapeId="0">
      <text>
        <r>
          <rPr>
            <sz val="12"/>
            <color indexed="81"/>
            <rFont val="Tahoma"/>
            <family val="2"/>
          </rPr>
          <t xml:space="preserve">Anfangswert </t>
        </r>
      </text>
    </comment>
    <comment ref="D46" authorId="0" shapeId="0">
      <text>
        <r>
          <rPr>
            <sz val="11"/>
            <color indexed="81"/>
            <rFont val="Tahoma"/>
            <family val="2"/>
          </rPr>
          <t xml:space="preserve">Ohne Arbeitsstunden, die bereits bei den variablen Kosten (Zeile 39
) berücksichtigt wurden.
</t>
        </r>
      </text>
    </comment>
    <comment ref="F47" authorId="0" shapeId="0">
      <text>
        <r>
          <rPr>
            <b/>
            <sz val="11"/>
            <color indexed="81"/>
            <rFont val="Tahoma"/>
            <family val="2"/>
          </rPr>
          <t>Segger, Volker (LEL):</t>
        </r>
        <r>
          <rPr>
            <sz val="11"/>
            <color indexed="81"/>
            <rFont val="Tahoma"/>
            <family val="2"/>
          </rPr>
          <t xml:space="preserve">
AfA, Zinsansatz und Unterhaltung</t>
        </r>
      </text>
    </comment>
    <comment ref="F48" authorId="0" shapeId="0">
      <text>
        <r>
          <rPr>
            <b/>
            <sz val="11"/>
            <color indexed="81"/>
            <rFont val="Tahoma"/>
            <family val="2"/>
          </rPr>
          <t>Segger, Volker (LEL):</t>
        </r>
        <r>
          <rPr>
            <sz val="11"/>
            <color indexed="81"/>
            <rFont val="Tahoma"/>
            <family val="2"/>
          </rPr>
          <t xml:space="preserve">
AfA, Zinsansatz und Unterhaltung</t>
        </r>
      </text>
    </comment>
    <comment ref="D49" authorId="0" shapeId="0">
      <text>
        <r>
          <rPr>
            <sz val="10"/>
            <color indexed="81"/>
            <rFont val="Tahoma"/>
            <family val="2"/>
          </rPr>
          <t xml:space="preserve">Nur Maschinen, die unmittelbar der Pferdehaltung zugeordnet werden können (z.B. Hoflader, Miststreuer, Haferquetsche, Bahnebner).
</t>
        </r>
      </text>
    </comment>
    <comment ref="F49" authorId="0" shapeId="0">
      <text>
        <r>
          <rPr>
            <sz val="11"/>
            <color indexed="81"/>
            <rFont val="Tahoma"/>
            <family val="2"/>
          </rPr>
          <t xml:space="preserve">Abschreibungen und Zinsansatz.
</t>
        </r>
      </text>
    </comment>
    <comment ref="O49" authorId="1" shapeId="0">
      <text>
        <r>
          <rPr>
            <sz val="9"/>
            <color indexed="81"/>
            <rFont val="Tahoma"/>
            <family val="2"/>
          </rPr>
          <t>Unterhaltungskosten bei Maschinen sind variable Kosten. .</t>
        </r>
      </text>
    </comment>
    <comment ref="D51" authorId="0" shapeId="0">
      <text>
        <r>
          <rPr>
            <sz val="11"/>
            <color indexed="81"/>
            <rFont val="Tahoma"/>
            <family val="2"/>
          </rPr>
          <t xml:space="preserve">z.B. allg. Versicherungen, Buchführung, betriebl. PKW-Anteil
</t>
        </r>
      </text>
    </comment>
    <comment ref="F51" authorId="0" shapeId="0">
      <text>
        <r>
          <rPr>
            <sz val="10"/>
            <color indexed="81"/>
            <rFont val="Tahoma"/>
            <family val="2"/>
          </rPr>
          <t>Prozentzahl abhängig von der Zahl der Pferde und dem Umfang sonstiger Betriebszweige.</t>
        </r>
      </text>
    </comment>
  </commentList>
</comments>
</file>

<file path=xl/comments11.xml><?xml version="1.0" encoding="utf-8"?>
<comments xmlns="http://schemas.openxmlformats.org/spreadsheetml/2006/main">
  <authors>
    <author>Segger, Volker (LEL)</author>
  </authors>
  <commentList>
    <comment ref="E16" authorId="0" shapeId="0">
      <text>
        <r>
          <rPr>
            <sz val="10"/>
            <color indexed="81"/>
            <rFont val="Tahoma"/>
            <family val="2"/>
          </rPr>
          <t xml:space="preserve">Beim Regelbesteuerer Nettowerte, beim Pauschalierer Bruttowerte eingeben.
</t>
        </r>
      </text>
    </comment>
    <comment ref="D38" authorId="0" shapeId="0">
      <text>
        <r>
          <rPr>
            <sz val="11"/>
            <color indexed="81"/>
            <rFont val="Tahoma"/>
            <family val="2"/>
          </rPr>
          <t xml:space="preserve">Reitstunden je Schulpferd u. Jahr geteilt durch die dschn. Anzahl Schulpferde je Unterrichtsstunde
</t>
        </r>
      </text>
    </comment>
    <comment ref="E38" authorId="0" shapeId="0">
      <text>
        <r>
          <rPr>
            <sz val="11"/>
            <color indexed="81"/>
            <rFont val="Tahoma"/>
            <family val="2"/>
          </rPr>
          <t>Kosten je Unterrichtsstunde</t>
        </r>
      </text>
    </comment>
    <comment ref="E41" authorId="0" shapeId="0">
      <text>
        <r>
          <rPr>
            <sz val="12"/>
            <color indexed="81"/>
            <rFont val="Tahoma"/>
            <family val="2"/>
          </rPr>
          <t xml:space="preserve">Anfangswert </t>
        </r>
      </text>
    </comment>
    <comment ref="D44" authorId="0" shapeId="0">
      <text>
        <r>
          <rPr>
            <sz val="11"/>
            <color indexed="81"/>
            <rFont val="Tahoma"/>
            <family val="2"/>
          </rPr>
          <t xml:space="preserve">Ohne Arbeitsstunden, die bereits bei den variablen Kosten (Zeile 34) berücksichtigt wurden.
</t>
        </r>
      </text>
    </comment>
    <comment ref="F45" authorId="0" shapeId="0">
      <text>
        <r>
          <rPr>
            <b/>
            <sz val="11"/>
            <color indexed="81"/>
            <rFont val="Tahoma"/>
            <family val="2"/>
          </rPr>
          <t>Segger, Volker (LEL):</t>
        </r>
        <r>
          <rPr>
            <sz val="11"/>
            <color indexed="81"/>
            <rFont val="Tahoma"/>
            <family val="2"/>
          </rPr>
          <t xml:space="preserve">
AfA, Zinsansatz und Unterhaltung</t>
        </r>
      </text>
    </comment>
    <comment ref="F46" authorId="0" shapeId="0">
      <text>
        <r>
          <rPr>
            <b/>
            <sz val="11"/>
            <color indexed="81"/>
            <rFont val="Tahoma"/>
            <family val="2"/>
          </rPr>
          <t>Segger, Volker (LEL):</t>
        </r>
        <r>
          <rPr>
            <sz val="11"/>
            <color indexed="81"/>
            <rFont val="Tahoma"/>
            <family val="2"/>
          </rPr>
          <t xml:space="preserve">
AfA, Zinsansatz und Unterhaltung</t>
        </r>
      </text>
    </comment>
    <comment ref="D47" authorId="0" shapeId="0">
      <text>
        <r>
          <rPr>
            <sz val="10"/>
            <color indexed="81"/>
            <rFont val="Tahoma"/>
            <family val="2"/>
          </rPr>
          <t xml:space="preserve">Nur Maschinen, die unmittelbar der Pferdehaltung zugeordnet werden können (z.B. Hoflader, Miststreuer, Haferquetsche, Bahnebner).
</t>
        </r>
      </text>
    </comment>
    <comment ref="F47" authorId="0" shapeId="0">
      <text>
        <r>
          <rPr>
            <sz val="11"/>
            <color indexed="81"/>
            <rFont val="Tahoma"/>
            <family val="2"/>
          </rPr>
          <t xml:space="preserve">Abschreibungen und Zinsansatz.
</t>
        </r>
      </text>
    </comment>
    <comment ref="D49" authorId="0" shapeId="0">
      <text>
        <r>
          <rPr>
            <sz val="11"/>
            <color indexed="81"/>
            <rFont val="Tahoma"/>
            <family val="2"/>
          </rPr>
          <t xml:space="preserve">z.B. allg. Versicherungen, Buchführung, betriebl. PKW-Anteil
</t>
        </r>
      </text>
    </comment>
    <comment ref="F49" authorId="0" shapeId="0">
      <text>
        <r>
          <rPr>
            <sz val="10"/>
            <color indexed="81"/>
            <rFont val="Tahoma"/>
            <family val="2"/>
          </rPr>
          <t>Prozentzahl abhängig von der Zahl der Pferde und dem Umfang sonstiger Betriebszweige.</t>
        </r>
      </text>
    </comment>
  </commentList>
</comments>
</file>

<file path=xl/comments2.xml><?xml version="1.0" encoding="utf-8"?>
<comments xmlns="http://schemas.openxmlformats.org/spreadsheetml/2006/main">
  <authors>
    <author>Segger, Volker (LEL)</author>
    <author>seggerv</author>
  </authors>
  <commentList>
    <comment ref="J6" authorId="0" shapeId="0">
      <text>
        <r>
          <rPr>
            <sz val="11"/>
            <color indexed="81"/>
            <rFont val="Tahoma"/>
            <family val="2"/>
          </rPr>
          <t xml:space="preserve">Geben Sie die (erwartete) Belegungsquote für Ihren Betrieb ein!
</t>
        </r>
      </text>
    </comment>
    <comment ref="E16" authorId="0" shapeId="0">
      <text>
        <r>
          <rPr>
            <sz val="10"/>
            <color indexed="81"/>
            <rFont val="Tahoma"/>
            <family val="2"/>
          </rPr>
          <t xml:space="preserve">Beim Regelbesteuerer Nettowerte, beim Pauschalierer Bruttowerte eingeben.
</t>
        </r>
      </text>
    </comment>
    <comment ref="B38" authorId="0" shapeId="0">
      <text>
        <r>
          <rPr>
            <sz val="11"/>
            <color indexed="81"/>
            <rFont val="Tahoma"/>
            <family val="2"/>
          </rPr>
          <t>Variabel sind nur solche Lohnkosten, die sich Einschränkung des Verfahrens um z.B. ein Pferd verändern.</t>
        </r>
      </text>
    </comment>
    <comment ref="E41" authorId="0" shapeId="0">
      <text>
        <r>
          <rPr>
            <sz val="12"/>
            <color indexed="81"/>
            <rFont val="Tahoma"/>
            <family val="2"/>
          </rPr>
          <t>Durchschnitt aus Anfangswert und Endwert</t>
        </r>
      </text>
    </comment>
    <comment ref="D44" authorId="0" shapeId="0">
      <text>
        <r>
          <rPr>
            <sz val="11"/>
            <color indexed="81"/>
            <rFont val="Tahoma"/>
            <family val="2"/>
          </rPr>
          <t xml:space="preserve">Ohne Arbeitsstunden, die bereits bei den variablen Kosten (Zeile 38) berücksichtigt wurden.
</t>
        </r>
      </text>
    </comment>
    <comment ref="F45" authorId="0" shapeId="0">
      <text>
        <r>
          <rPr>
            <b/>
            <sz val="11"/>
            <color indexed="81"/>
            <rFont val="Tahoma"/>
            <family val="2"/>
          </rPr>
          <t>Segger, Volker (LEL):</t>
        </r>
        <r>
          <rPr>
            <sz val="11"/>
            <color indexed="81"/>
            <rFont val="Tahoma"/>
            <family val="2"/>
          </rPr>
          <t xml:space="preserve">
AfA, Zinsansatz und Unterhaltung</t>
        </r>
      </text>
    </comment>
    <comment ref="F46" authorId="0" shapeId="0">
      <text>
        <r>
          <rPr>
            <b/>
            <sz val="11"/>
            <color indexed="81"/>
            <rFont val="Tahoma"/>
            <family val="2"/>
          </rPr>
          <t>Segger, Volker (LEL):</t>
        </r>
        <r>
          <rPr>
            <sz val="11"/>
            <color indexed="81"/>
            <rFont val="Tahoma"/>
            <family val="2"/>
          </rPr>
          <t xml:space="preserve">
AfA, Zinsansatz und Unterhaltung</t>
        </r>
      </text>
    </comment>
    <comment ref="D47" authorId="0" shapeId="0">
      <text>
        <r>
          <rPr>
            <sz val="10"/>
            <color indexed="81"/>
            <rFont val="Tahoma"/>
            <family val="2"/>
          </rPr>
          <t xml:space="preserve">Nur Maschinen, die unmittelbar der Pferdehaltung zugeordnet werden können (z.B. Hoflader, Miststreuer, Haferquetsche, Bahnebner).
</t>
        </r>
      </text>
    </comment>
    <comment ref="F47" authorId="0" shapeId="0">
      <text>
        <r>
          <rPr>
            <sz val="11"/>
            <color indexed="81"/>
            <rFont val="Tahoma"/>
            <family val="2"/>
          </rPr>
          <t xml:space="preserve">Abschreibungen und Zinsansatz.
</t>
        </r>
      </text>
    </comment>
    <comment ref="Q47" authorId="1" shapeId="0">
      <text>
        <r>
          <rPr>
            <sz val="9"/>
            <color indexed="81"/>
            <rFont val="Tahoma"/>
            <family val="2"/>
          </rPr>
          <t>Unterhaltungskosten bei Maschinen sind variable Kosten. .</t>
        </r>
      </text>
    </comment>
    <comment ref="D49" authorId="0" shapeId="0">
      <text>
        <r>
          <rPr>
            <sz val="11"/>
            <color indexed="81"/>
            <rFont val="Tahoma"/>
            <family val="2"/>
          </rPr>
          <t xml:space="preserve">z.B. allg. Versicherungen, Buchführung, betriebl. PKW-Anteil
</t>
        </r>
      </text>
    </comment>
  </commentList>
</comments>
</file>

<file path=xl/comments3.xml><?xml version="1.0" encoding="utf-8"?>
<comments xmlns="http://schemas.openxmlformats.org/spreadsheetml/2006/main">
  <authors>
    <author>Segger, Volker (LEL)</author>
    <author>seggerv</author>
  </authors>
  <commentList>
    <comment ref="D14" authorId="0" shapeId="0">
      <text>
        <r>
          <rPr>
            <sz val="12"/>
            <color indexed="81"/>
            <rFont val="Tahoma"/>
            <family val="2"/>
          </rPr>
          <t xml:space="preserve">Dieser Wert errechnet sich aus der durchschnittlichen Nutzungsdauer.
</t>
        </r>
      </text>
    </comment>
    <comment ref="E16" authorId="0" shapeId="0">
      <text>
        <r>
          <rPr>
            <sz val="10"/>
            <color indexed="81"/>
            <rFont val="Tahoma"/>
            <family val="2"/>
          </rPr>
          <t xml:space="preserve">Beim Regelbesteuerer Nettowerte, beim Pauschalierer Bruttowerte eingeben.
</t>
        </r>
      </text>
    </comment>
    <comment ref="D17" authorId="0" shapeId="0">
      <text>
        <r>
          <rPr>
            <sz val="12"/>
            <color indexed="81"/>
            <rFont val="Tahoma"/>
            <family val="2"/>
          </rPr>
          <t xml:space="preserve">Dieser Wert errechnet sich aus der durchschnittlichen Nutzungsdauer.
</t>
        </r>
      </text>
    </comment>
    <comment ref="E17" authorId="0" shapeId="0">
      <text>
        <r>
          <rPr>
            <sz val="12"/>
            <color indexed="81"/>
            <rFont val="Tahoma"/>
            <family val="2"/>
          </rPr>
          <t>Anschaffungspreis je Schulpferd</t>
        </r>
      </text>
    </comment>
    <comment ref="D38" authorId="0" shapeId="0">
      <text>
        <r>
          <rPr>
            <sz val="11"/>
            <color indexed="81"/>
            <rFont val="Tahoma"/>
            <family val="2"/>
          </rPr>
          <t xml:space="preserve">Reitstunden je Schulpferd u. Jahr geteilt durch die dschn. Anzahl Schulpferde je Unterrichtsstunde
</t>
        </r>
      </text>
    </comment>
    <comment ref="E38" authorId="0" shapeId="0">
      <text>
        <r>
          <rPr>
            <sz val="11"/>
            <color indexed="81"/>
            <rFont val="Tahoma"/>
            <family val="2"/>
          </rPr>
          <t>Kosten für Reitlehrer je Unterrichtsstunde</t>
        </r>
      </text>
    </comment>
    <comment ref="G38" authorId="0" shapeId="0">
      <text>
        <r>
          <rPr>
            <b/>
            <sz val="11"/>
            <color indexed="81"/>
            <rFont val="Tahoma"/>
            <family val="2"/>
          </rPr>
          <t xml:space="preserve">Durchschn. Anzahl der Pferde je Untterrichtssstunde eingeben
</t>
        </r>
      </text>
    </comment>
    <comment ref="E41" authorId="0" shapeId="0">
      <text>
        <r>
          <rPr>
            <sz val="12"/>
            <color indexed="81"/>
            <rFont val="Tahoma"/>
            <family val="2"/>
          </rPr>
          <t>Durchschnitt aus Anfangswert und Endwert</t>
        </r>
      </text>
    </comment>
    <comment ref="D44" authorId="0" shapeId="0">
      <text>
        <r>
          <rPr>
            <sz val="11"/>
            <color indexed="81"/>
            <rFont val="Tahoma"/>
            <family val="2"/>
          </rPr>
          <t xml:space="preserve">Ohne Arbeitsstunden, die bereits bei den variablen Kosten (Zeile 34) berücksichtigt wurden.
</t>
        </r>
      </text>
    </comment>
    <comment ref="F45" authorId="0" shapeId="0">
      <text>
        <r>
          <rPr>
            <b/>
            <sz val="11"/>
            <color indexed="81"/>
            <rFont val="Tahoma"/>
            <family val="2"/>
          </rPr>
          <t>Segger, Volker (LEL):</t>
        </r>
        <r>
          <rPr>
            <sz val="11"/>
            <color indexed="81"/>
            <rFont val="Tahoma"/>
            <family val="2"/>
          </rPr>
          <t xml:space="preserve">
AfA, Zinsansatz und Unterhaltung</t>
        </r>
      </text>
    </comment>
    <comment ref="F46" authorId="0" shapeId="0">
      <text>
        <r>
          <rPr>
            <b/>
            <sz val="11"/>
            <color indexed="81"/>
            <rFont val="Tahoma"/>
            <family val="2"/>
          </rPr>
          <t>Segger, Volker (LEL):</t>
        </r>
        <r>
          <rPr>
            <sz val="11"/>
            <color indexed="81"/>
            <rFont val="Tahoma"/>
            <family val="2"/>
          </rPr>
          <t xml:space="preserve">
AfA, Zinsansatz und Unterhaltung</t>
        </r>
      </text>
    </comment>
    <comment ref="D47" authorId="0" shapeId="0">
      <text>
        <r>
          <rPr>
            <sz val="10"/>
            <color indexed="81"/>
            <rFont val="Tahoma"/>
            <family val="2"/>
          </rPr>
          <t xml:space="preserve">Nur Maschinen, die unmittelbar der Pferdehaltung zugeordnet werden können (z.B. Hoflader, Miststreuer, Haferquetsche, Bahnebner).
</t>
        </r>
      </text>
    </comment>
    <comment ref="F47" authorId="0" shapeId="0">
      <text>
        <r>
          <rPr>
            <sz val="11"/>
            <color indexed="81"/>
            <rFont val="Tahoma"/>
            <family val="2"/>
          </rPr>
          <t xml:space="preserve">Abschreibungen und Zinsansatz.
</t>
        </r>
      </text>
    </comment>
    <comment ref="O47" authorId="1" shapeId="0">
      <text>
        <r>
          <rPr>
            <sz val="9"/>
            <color indexed="81"/>
            <rFont val="Tahoma"/>
            <family val="2"/>
          </rPr>
          <t>Unterhaltungskosten bei Maschinen sind variable Kosten. .</t>
        </r>
      </text>
    </comment>
    <comment ref="D49" authorId="0" shapeId="0">
      <text>
        <r>
          <rPr>
            <sz val="11"/>
            <color indexed="81"/>
            <rFont val="Tahoma"/>
            <family val="2"/>
          </rPr>
          <t xml:space="preserve">z.B. allg. Versicherungen, Buchführung, betriebl. PKW-Anteil
</t>
        </r>
      </text>
    </comment>
  </commentList>
</comments>
</file>

<file path=xl/comments4.xml><?xml version="1.0" encoding="utf-8"?>
<comments xmlns="http://schemas.openxmlformats.org/spreadsheetml/2006/main">
  <authors>
    <author>Segger, Volker (LEL)</author>
    <author>seggerv</author>
  </authors>
  <commentList>
    <comment ref="J6" authorId="0" shapeId="0">
      <text>
        <r>
          <rPr>
            <sz val="11"/>
            <color indexed="81"/>
            <rFont val="Tahoma"/>
            <family val="2"/>
          </rPr>
          <t xml:space="preserve">Geben Sie die (erwartete) Belegungsquote für Ihren Betrieb ein!
</t>
        </r>
      </text>
    </comment>
    <comment ref="E16" authorId="0" shapeId="0">
      <text>
        <r>
          <rPr>
            <sz val="10"/>
            <color indexed="81"/>
            <rFont val="Tahoma"/>
            <family val="2"/>
          </rPr>
          <t xml:space="preserve">Beim Regelbesteuerer Nettowerte, beim Pauschalierer Bruttowerte eingeben.
</t>
        </r>
      </text>
    </comment>
    <comment ref="B38" authorId="0" shapeId="0">
      <text>
        <r>
          <rPr>
            <sz val="11"/>
            <color indexed="81"/>
            <rFont val="Tahoma"/>
            <family val="2"/>
          </rPr>
          <t>Variabel sind nur solche Lohnkosten, die sich Einschränkung des Verfahrens um z.B. ein Pferd verändern.</t>
        </r>
      </text>
    </comment>
    <comment ref="E41" authorId="0" shapeId="0">
      <text>
        <r>
          <rPr>
            <sz val="12"/>
            <color indexed="81"/>
            <rFont val="Tahoma"/>
            <family val="2"/>
          </rPr>
          <t>Durchschnitt aus Anfangswert und Endwert</t>
        </r>
      </text>
    </comment>
    <comment ref="D44" authorId="0" shapeId="0">
      <text>
        <r>
          <rPr>
            <sz val="11"/>
            <color indexed="81"/>
            <rFont val="Tahoma"/>
            <family val="2"/>
          </rPr>
          <t xml:space="preserve">Ohne Arbeitsstunden, die bereits bei den variablen Kosten (Zeile 38
) berücksichtigt wurden.
</t>
        </r>
      </text>
    </comment>
    <comment ref="F45" authorId="0" shapeId="0">
      <text>
        <r>
          <rPr>
            <b/>
            <sz val="11"/>
            <color indexed="81"/>
            <rFont val="Tahoma"/>
            <family val="2"/>
          </rPr>
          <t>Segger, Volker (LEL):</t>
        </r>
        <r>
          <rPr>
            <sz val="11"/>
            <color indexed="81"/>
            <rFont val="Tahoma"/>
            <family val="2"/>
          </rPr>
          <t xml:space="preserve">
AfA, Zinsansatz und Unterhaltung</t>
        </r>
      </text>
    </comment>
    <comment ref="F46" authorId="0" shapeId="0">
      <text>
        <r>
          <rPr>
            <b/>
            <sz val="11"/>
            <color indexed="81"/>
            <rFont val="Tahoma"/>
            <family val="2"/>
          </rPr>
          <t>Segger, Volker (LEL):</t>
        </r>
        <r>
          <rPr>
            <sz val="11"/>
            <color indexed="81"/>
            <rFont val="Tahoma"/>
            <family val="2"/>
          </rPr>
          <t xml:space="preserve">
AfA, Zinsansatz und Unterhaltung</t>
        </r>
      </text>
    </comment>
    <comment ref="D47" authorId="0" shapeId="0">
      <text>
        <r>
          <rPr>
            <sz val="10"/>
            <color indexed="81"/>
            <rFont val="Tahoma"/>
            <family val="2"/>
          </rPr>
          <t xml:space="preserve">Nur Maschinen, die unmittelbar der Pferdehaltung zugeordnet werden können (z.B. Hoflader, Miststreuer, Haferquetsche, Bahnebner).
</t>
        </r>
      </text>
    </comment>
    <comment ref="F47" authorId="0" shapeId="0">
      <text>
        <r>
          <rPr>
            <sz val="11"/>
            <color indexed="81"/>
            <rFont val="Tahoma"/>
            <family val="2"/>
          </rPr>
          <t xml:space="preserve">Abschreibungen und Zinsansatz.
</t>
        </r>
      </text>
    </comment>
    <comment ref="Q47" authorId="1" shapeId="0">
      <text>
        <r>
          <rPr>
            <sz val="9"/>
            <color indexed="81"/>
            <rFont val="Tahoma"/>
            <family val="2"/>
          </rPr>
          <t>Unterhaltungskosten bei Maschinen sind variable Kosten. .</t>
        </r>
      </text>
    </comment>
    <comment ref="D49" authorId="0" shapeId="0">
      <text>
        <r>
          <rPr>
            <sz val="11"/>
            <color indexed="81"/>
            <rFont val="Tahoma"/>
            <family val="2"/>
          </rPr>
          <t xml:space="preserve">z.B. allg. Versicherungen, Buchführung, betriebl. PKW-Anteil
</t>
        </r>
      </text>
    </comment>
  </commentList>
</comments>
</file>

<file path=xl/comments5.xml><?xml version="1.0" encoding="utf-8"?>
<comments xmlns="http://schemas.openxmlformats.org/spreadsheetml/2006/main">
  <authors>
    <author>seggerv</author>
    <author>Segger, Volker (LEL)</author>
  </authors>
  <commentList>
    <comment ref="H3" authorId="0" shapeId="0">
      <text>
        <r>
          <rPr>
            <sz val="12"/>
            <color indexed="81"/>
            <rFont val="Tahoma"/>
            <family val="2"/>
          </rPr>
          <t>Vgl. die Hinweise dazu im Blatt 5_Mwst.</t>
        </r>
      </text>
    </comment>
    <comment ref="G7" authorId="0" shapeId="0">
      <text>
        <r>
          <rPr>
            <sz val="11"/>
            <color indexed="81"/>
            <rFont val="Tahoma"/>
            <family val="2"/>
          </rPr>
          <t xml:space="preserve">Diese Angaben werden benötigt zur Berechnung des Zeitaufwands des Reitlehrers (Zelle D 40)
</t>
        </r>
      </text>
    </comment>
    <comment ref="B8" authorId="0" shapeId="0">
      <text>
        <r>
          <rPr>
            <sz val="11"/>
            <color indexed="81"/>
            <rFont val="Tahoma"/>
            <family val="2"/>
          </rPr>
          <t>Die Hauptleistung ist der Unterricht, der den größten Umsatz je Woche bringt.</t>
        </r>
      </text>
    </comment>
    <comment ref="D15" authorId="1" shapeId="0">
      <text>
        <r>
          <rPr>
            <sz val="12"/>
            <color indexed="81"/>
            <rFont val="Tahoma"/>
            <family val="2"/>
          </rPr>
          <t xml:space="preserve">Dieser Wert errechnet sich aus der durchschnittlichen Nutzungsdauer.
</t>
        </r>
      </text>
    </comment>
    <comment ref="E17" authorId="1" shapeId="0">
      <text>
        <r>
          <rPr>
            <sz val="10"/>
            <color indexed="81"/>
            <rFont val="Tahoma"/>
            <family val="2"/>
          </rPr>
          <t xml:space="preserve">Beim Regelbesteuerer Nettowerte, beim Pauschalierer Bruttowerte eingeben.
</t>
        </r>
      </text>
    </comment>
    <comment ref="D18" authorId="1" shapeId="0">
      <text>
        <r>
          <rPr>
            <sz val="12"/>
            <color indexed="81"/>
            <rFont val="Tahoma"/>
            <family val="2"/>
          </rPr>
          <t xml:space="preserve">Dieser Wert errechnet sich aus der durchschnittlichen Nutzungsdauer.
</t>
        </r>
      </text>
    </comment>
    <comment ref="E18" authorId="1" shapeId="0">
      <text>
        <r>
          <rPr>
            <sz val="12"/>
            <color indexed="81"/>
            <rFont val="Tahoma"/>
            <family val="2"/>
          </rPr>
          <t>Anschaffungspreis je Schulpferd</t>
        </r>
      </text>
    </comment>
    <comment ref="D39" authorId="1" shapeId="0">
      <text>
        <r>
          <rPr>
            <sz val="11"/>
            <color indexed="81"/>
            <rFont val="Tahoma"/>
            <family val="2"/>
          </rPr>
          <t>Errechneter Zeutbedarf für Unterricht..
Vgl. Zelle U 13.</t>
        </r>
      </text>
    </comment>
    <comment ref="E39" authorId="1" shapeId="0">
      <text>
        <r>
          <rPr>
            <sz val="11"/>
            <color indexed="81"/>
            <rFont val="Tahoma"/>
            <family val="2"/>
          </rPr>
          <t>Kosten für Reitlehrer je Unterrichtsstunde. Nur eingeben, wenn Unterricht nicht durch ständige AK erfolgt.</t>
        </r>
      </text>
    </comment>
    <comment ref="E42" authorId="1" shapeId="0">
      <text>
        <r>
          <rPr>
            <sz val="12"/>
            <color indexed="81"/>
            <rFont val="Tahoma"/>
            <family val="2"/>
          </rPr>
          <t>Durchschnitt aus Anfangswert und Endwert</t>
        </r>
      </text>
    </comment>
    <comment ref="G45" authorId="0" shapeId="0">
      <text>
        <r>
          <rPr>
            <sz val="11"/>
            <color indexed="81"/>
            <rFont val="Tahoma"/>
            <family val="2"/>
          </rPr>
          <t>In Prozent des Zeitbedarfs für den Unterricht (Zelle D 39)</t>
        </r>
      </text>
    </comment>
    <comment ref="F47" authorId="1" shapeId="0">
      <text>
        <r>
          <rPr>
            <b/>
            <sz val="11"/>
            <color indexed="81"/>
            <rFont val="Tahoma"/>
            <family val="2"/>
          </rPr>
          <t>Segger, Volker (LEL):</t>
        </r>
        <r>
          <rPr>
            <sz val="11"/>
            <color indexed="81"/>
            <rFont val="Tahoma"/>
            <family val="2"/>
          </rPr>
          <t xml:space="preserve">
AfA, Zinsansatz und Unterhaltung</t>
        </r>
      </text>
    </comment>
    <comment ref="F48" authorId="1" shapeId="0">
      <text>
        <r>
          <rPr>
            <b/>
            <sz val="11"/>
            <color indexed="81"/>
            <rFont val="Tahoma"/>
            <family val="2"/>
          </rPr>
          <t>Segger, Volker (LEL):</t>
        </r>
        <r>
          <rPr>
            <sz val="11"/>
            <color indexed="81"/>
            <rFont val="Tahoma"/>
            <family val="2"/>
          </rPr>
          <t xml:space="preserve">
AfA, Zinsansatz und Unterhaltung</t>
        </r>
      </text>
    </comment>
    <comment ref="D49" authorId="1" shapeId="0">
      <text>
        <r>
          <rPr>
            <sz val="10"/>
            <color indexed="81"/>
            <rFont val="Tahoma"/>
            <family val="2"/>
          </rPr>
          <t xml:space="preserve">Nur Maschinen, die unmittelbar der Pferdehaltung zugeordnet werden können (z.B. Hoflader, Miststreuer, Haferquetsche, Bahnebner).
</t>
        </r>
      </text>
    </comment>
    <comment ref="F49" authorId="1" shapeId="0">
      <text>
        <r>
          <rPr>
            <sz val="11"/>
            <color indexed="81"/>
            <rFont val="Tahoma"/>
            <family val="2"/>
          </rPr>
          <t xml:space="preserve">Abschreibungen und Zinsansatz.
</t>
        </r>
      </text>
    </comment>
    <comment ref="P49" authorId="0" shapeId="0">
      <text>
        <r>
          <rPr>
            <sz val="11"/>
            <color indexed="81"/>
            <rFont val="Tahoma"/>
            <family val="2"/>
          </rPr>
          <t>Unterhaltungskosten bei Maschinen sind variable Kosten. .</t>
        </r>
      </text>
    </comment>
    <comment ref="D51" authorId="1" shapeId="0">
      <text>
        <r>
          <rPr>
            <sz val="11"/>
            <color indexed="81"/>
            <rFont val="Tahoma"/>
            <family val="2"/>
          </rPr>
          <t xml:space="preserve">z.B. allg. Versicherungen, Buchführung, betriebl. PKW-Anteil
</t>
        </r>
      </text>
    </comment>
  </commentList>
</comments>
</file>

<file path=xl/comments6.xml><?xml version="1.0" encoding="utf-8"?>
<comments xmlns="http://schemas.openxmlformats.org/spreadsheetml/2006/main">
  <authors>
    <author>seggerv</author>
    <author>Segger, Volker (LEL)</author>
  </authors>
  <commentList>
    <comment ref="D10" authorId="0" shapeId="0">
      <text>
        <r>
          <rPr>
            <sz val="12"/>
            <color indexed="81"/>
            <rFont val="Tahoma"/>
            <family val="2"/>
          </rPr>
          <t xml:space="preserve">Durchschnittliche Abfohlrate.
</t>
        </r>
      </text>
    </comment>
    <comment ref="D14" authorId="1" shapeId="0">
      <text>
        <r>
          <rPr>
            <sz val="12"/>
            <color indexed="81"/>
            <rFont val="Tahoma"/>
            <family val="2"/>
          </rPr>
          <t xml:space="preserve">Dieser Wert errechnet sich aus der durchschnittlichen Nutzungsdauer.
</t>
        </r>
      </text>
    </comment>
    <comment ref="E16" authorId="1" shapeId="0">
      <text>
        <r>
          <rPr>
            <sz val="10"/>
            <color indexed="81"/>
            <rFont val="Tahoma"/>
            <family val="2"/>
          </rPr>
          <t xml:space="preserve">Beim Regelbesteuerer Nettowerte, beim Pauschalierer Bruttowerte eingeben.
</t>
        </r>
      </text>
    </comment>
    <comment ref="D17" authorId="1" shapeId="0">
      <text>
        <r>
          <rPr>
            <sz val="12"/>
            <color indexed="81"/>
            <rFont val="Tahoma"/>
            <family val="2"/>
          </rPr>
          <t xml:space="preserve">Dieser Wert errechnet sich aus der durchschnittlichen Nutzungsdauer.
</t>
        </r>
      </text>
    </comment>
    <comment ref="E41" authorId="1" shapeId="0">
      <text>
        <r>
          <rPr>
            <sz val="12"/>
            <color indexed="81"/>
            <rFont val="Tahoma"/>
            <family val="2"/>
          </rPr>
          <t>Durchschnitt aus Anfangswert und Endwert</t>
        </r>
      </text>
    </comment>
    <comment ref="D45" authorId="1" shapeId="0">
      <text>
        <r>
          <rPr>
            <sz val="11"/>
            <color indexed="81"/>
            <rFont val="Tahoma"/>
            <family val="2"/>
          </rPr>
          <t xml:space="preserve">Ohne Arbeitsstunden, die bereits bei den variablen Kosten (Zeile 38) berücksichtigt wurden.
</t>
        </r>
      </text>
    </comment>
    <comment ref="F46" authorId="1" shapeId="0">
      <text>
        <r>
          <rPr>
            <b/>
            <sz val="11"/>
            <color indexed="81"/>
            <rFont val="Tahoma"/>
            <family val="2"/>
          </rPr>
          <t>Segger, Volker (LEL):</t>
        </r>
        <r>
          <rPr>
            <sz val="11"/>
            <color indexed="81"/>
            <rFont val="Tahoma"/>
            <family val="2"/>
          </rPr>
          <t xml:space="preserve">
AfA, Zinsansatz und Unterhaltung</t>
        </r>
      </text>
    </comment>
    <comment ref="F47" authorId="1" shapeId="0">
      <text>
        <r>
          <rPr>
            <b/>
            <sz val="11"/>
            <color indexed="81"/>
            <rFont val="Tahoma"/>
            <family val="2"/>
          </rPr>
          <t>Segger, Volker (LEL):</t>
        </r>
        <r>
          <rPr>
            <sz val="11"/>
            <color indexed="81"/>
            <rFont val="Tahoma"/>
            <family val="2"/>
          </rPr>
          <t xml:space="preserve">
AfA, Zinsansatz und Unterhaltung</t>
        </r>
      </text>
    </comment>
    <comment ref="D48" authorId="1" shapeId="0">
      <text>
        <r>
          <rPr>
            <sz val="10"/>
            <color indexed="81"/>
            <rFont val="Tahoma"/>
            <family val="2"/>
          </rPr>
          <t xml:space="preserve">Nur Maschinen, die unmittelbar der Pferdehaltung zugeordnet werden können (z.B. Hoflader, Miststreuer, Haferquetsche, Bahnebner).
</t>
        </r>
      </text>
    </comment>
    <comment ref="F48" authorId="1" shapeId="0">
      <text>
        <r>
          <rPr>
            <sz val="11"/>
            <color indexed="81"/>
            <rFont val="Tahoma"/>
            <family val="2"/>
          </rPr>
          <t xml:space="preserve">Abschreibungen und Zinsansatz.
</t>
        </r>
      </text>
    </comment>
    <comment ref="O48" authorId="0" shapeId="0">
      <text>
        <r>
          <rPr>
            <sz val="9"/>
            <color indexed="81"/>
            <rFont val="Tahoma"/>
            <family val="2"/>
          </rPr>
          <t>Unterhaltungskosten bei Maschinen sind variable Kosten. .</t>
        </r>
      </text>
    </comment>
    <comment ref="D50" authorId="1" shapeId="0">
      <text>
        <r>
          <rPr>
            <sz val="11"/>
            <color indexed="81"/>
            <rFont val="Tahoma"/>
            <family val="2"/>
          </rPr>
          <t xml:space="preserve">z.B. allg. Versicherungen, Buchführung, betriebl. PKW-Anteil
</t>
        </r>
      </text>
    </comment>
  </commentList>
</comments>
</file>

<file path=xl/comments7.xml><?xml version="1.0" encoding="utf-8"?>
<comments xmlns="http://schemas.openxmlformats.org/spreadsheetml/2006/main">
  <authors>
    <author>Segger, Volker (LEL)</author>
    <author>seggerv</author>
  </authors>
  <commentList>
    <comment ref="D14" authorId="0" shapeId="0">
      <text>
        <r>
          <rPr>
            <sz val="12"/>
            <color indexed="81"/>
            <rFont val="Tahoma"/>
            <family val="2"/>
          </rPr>
          <t xml:space="preserve">Dieser Wert errechnet sich aus der durchschnittlichen Nutzungsdauer.
</t>
        </r>
      </text>
    </comment>
    <comment ref="E16" authorId="0" shapeId="0">
      <text>
        <r>
          <rPr>
            <sz val="10"/>
            <color indexed="81"/>
            <rFont val="Tahoma"/>
            <family val="2"/>
          </rPr>
          <t xml:space="preserve">Beim Regelbesteuerer Nettowerte, beim Pauschalierer Bruttowerte eingeben.
</t>
        </r>
      </text>
    </comment>
    <comment ref="D17" authorId="0" shapeId="0">
      <text>
        <r>
          <rPr>
            <sz val="12"/>
            <color indexed="81"/>
            <rFont val="Tahoma"/>
            <family val="2"/>
          </rPr>
          <t xml:space="preserve">Dieser Wert errechnet sich aus der durchschnittlichen Nutzungsdauer.
</t>
        </r>
      </text>
    </comment>
    <comment ref="E41" authorId="0" shapeId="0">
      <text>
        <r>
          <rPr>
            <sz val="12"/>
            <color indexed="81"/>
            <rFont val="Tahoma"/>
            <family val="2"/>
          </rPr>
          <t>Durchschnitt aus Anfangswert und Endwert</t>
        </r>
      </text>
    </comment>
    <comment ref="D45" authorId="0" shapeId="0">
      <text>
        <r>
          <rPr>
            <sz val="11"/>
            <color indexed="81"/>
            <rFont val="Tahoma"/>
            <family val="2"/>
          </rPr>
          <t xml:space="preserve">Ohne Arbeitsstunden, die bereits bei den variablen Kosten (Zeile 38) berücksichtigt wurden.
</t>
        </r>
      </text>
    </comment>
    <comment ref="F46" authorId="0" shapeId="0">
      <text>
        <r>
          <rPr>
            <b/>
            <sz val="11"/>
            <color indexed="81"/>
            <rFont val="Tahoma"/>
            <family val="2"/>
          </rPr>
          <t>Segger, Volker (LEL):</t>
        </r>
        <r>
          <rPr>
            <sz val="11"/>
            <color indexed="81"/>
            <rFont val="Tahoma"/>
            <family val="2"/>
          </rPr>
          <t xml:space="preserve">
AfA, Zinsansatz und Unterhaltung</t>
        </r>
      </text>
    </comment>
    <comment ref="F47" authorId="0" shapeId="0">
      <text>
        <r>
          <rPr>
            <b/>
            <sz val="11"/>
            <color indexed="81"/>
            <rFont val="Tahoma"/>
            <family val="2"/>
          </rPr>
          <t>Segger, Volker (LEL):</t>
        </r>
        <r>
          <rPr>
            <sz val="11"/>
            <color indexed="81"/>
            <rFont val="Tahoma"/>
            <family val="2"/>
          </rPr>
          <t xml:space="preserve">
AfA, Zinsansatz und Unterhaltung</t>
        </r>
      </text>
    </comment>
    <comment ref="D48" authorId="0" shapeId="0">
      <text>
        <r>
          <rPr>
            <sz val="10"/>
            <color indexed="81"/>
            <rFont val="Tahoma"/>
            <family val="2"/>
          </rPr>
          <t xml:space="preserve">Nur Maschinen, die unmittelbar der Pferdehaltung zugeordnet werden können (z.B. Hoflader, Miststreuer, Haferquetsche, Bahnebner).
</t>
        </r>
      </text>
    </comment>
    <comment ref="F48" authorId="0" shapeId="0">
      <text>
        <r>
          <rPr>
            <sz val="11"/>
            <color indexed="81"/>
            <rFont val="Tahoma"/>
            <family val="2"/>
          </rPr>
          <t xml:space="preserve">Abschreibungen und Zinsansatz.
</t>
        </r>
      </text>
    </comment>
    <comment ref="O48" authorId="1" shapeId="0">
      <text>
        <r>
          <rPr>
            <sz val="9"/>
            <color indexed="81"/>
            <rFont val="Tahoma"/>
            <family val="2"/>
          </rPr>
          <t>Unterhaltungskosten bei Maschinen sind variable Kosten. .</t>
        </r>
      </text>
    </comment>
    <comment ref="D50" authorId="0" shapeId="0">
      <text>
        <r>
          <rPr>
            <sz val="11"/>
            <color indexed="81"/>
            <rFont val="Tahoma"/>
            <family val="2"/>
          </rPr>
          <t xml:space="preserve">z.B. allg. Versicherungen, Buchführung, betriebl. PKW-Anteil
</t>
        </r>
      </text>
    </comment>
  </commentList>
</comments>
</file>

<file path=xl/comments8.xml><?xml version="1.0" encoding="utf-8"?>
<comments xmlns="http://schemas.openxmlformats.org/spreadsheetml/2006/main">
  <authors>
    <author>Segger, Volker (LEL)</author>
    <author>seggerv</author>
  </authors>
  <commentList>
    <comment ref="E16" authorId="0" shapeId="0">
      <text>
        <r>
          <rPr>
            <sz val="10"/>
            <color indexed="81"/>
            <rFont val="Tahoma"/>
            <family val="2"/>
          </rPr>
          <t xml:space="preserve">Beim Regelbesteuerer Nettowerte, beim Pauschalierer Bruttowerte eingeben.
</t>
        </r>
      </text>
    </comment>
    <comment ref="E39" authorId="0" shapeId="0">
      <text>
        <r>
          <rPr>
            <sz val="11"/>
            <color indexed="81"/>
            <rFont val="Tahoma"/>
            <family val="2"/>
          </rPr>
          <t xml:space="preserve">Kosten je Monat </t>
        </r>
      </text>
    </comment>
    <comment ref="D41" authorId="1" shapeId="0">
      <text>
        <r>
          <rPr>
            <sz val="10"/>
            <color indexed="81"/>
            <rFont val="Tahoma"/>
            <family val="2"/>
          </rPr>
          <t xml:space="preserve">Eingabe der Prozent vom Verkaufspreis.
</t>
        </r>
      </text>
    </comment>
    <comment ref="E43" authorId="0" shapeId="0">
      <text>
        <r>
          <rPr>
            <sz val="12"/>
            <color indexed="81"/>
            <rFont val="Tahoma"/>
            <family val="2"/>
          </rPr>
          <t xml:space="preserve">Anfangswert </t>
        </r>
      </text>
    </comment>
    <comment ref="D47" authorId="0" shapeId="0">
      <text>
        <r>
          <rPr>
            <sz val="11"/>
            <color indexed="81"/>
            <rFont val="Tahoma"/>
            <family val="2"/>
          </rPr>
          <t xml:space="preserve">Ohne Arbeitsstunden, die bereits bei den variablen Kosten (Zeile 39) berücksichtigt wurden.
</t>
        </r>
      </text>
    </comment>
    <comment ref="F48" authorId="0" shapeId="0">
      <text>
        <r>
          <rPr>
            <b/>
            <sz val="11"/>
            <color indexed="81"/>
            <rFont val="Tahoma"/>
            <family val="2"/>
          </rPr>
          <t>Segger, Volker (LEL):</t>
        </r>
        <r>
          <rPr>
            <sz val="11"/>
            <color indexed="81"/>
            <rFont val="Tahoma"/>
            <family val="2"/>
          </rPr>
          <t xml:space="preserve">
AfA, Zinsansatz und Unterhaltung</t>
        </r>
      </text>
    </comment>
    <comment ref="F49" authorId="0" shapeId="0">
      <text>
        <r>
          <rPr>
            <b/>
            <sz val="11"/>
            <color indexed="81"/>
            <rFont val="Tahoma"/>
            <family val="2"/>
          </rPr>
          <t>Segger, Volker (LEL):</t>
        </r>
        <r>
          <rPr>
            <sz val="11"/>
            <color indexed="81"/>
            <rFont val="Tahoma"/>
            <family val="2"/>
          </rPr>
          <t xml:space="preserve">
AfA, Zinsansatz und Unterhaltung</t>
        </r>
      </text>
    </comment>
    <comment ref="D50" authorId="0" shapeId="0">
      <text>
        <r>
          <rPr>
            <sz val="10"/>
            <color indexed="81"/>
            <rFont val="Tahoma"/>
            <family val="2"/>
          </rPr>
          <t xml:space="preserve">Nur Maschinen, die unmittelbar der Pferdehaltung zugeordnet werden können (z.B. Hoflader, Miststreuer, Haferquetsche, Bahnebner).
</t>
        </r>
      </text>
    </comment>
    <comment ref="F50" authorId="0" shapeId="0">
      <text>
        <r>
          <rPr>
            <sz val="11"/>
            <color indexed="81"/>
            <rFont val="Tahoma"/>
            <family val="2"/>
          </rPr>
          <t xml:space="preserve">Abschreibungen und Zinsansatz.
</t>
        </r>
      </text>
    </comment>
    <comment ref="O50" authorId="1" shapeId="0">
      <text>
        <r>
          <rPr>
            <sz val="9"/>
            <color indexed="81"/>
            <rFont val="Tahoma"/>
            <family val="2"/>
          </rPr>
          <t>Unterhaltungskosten bei Maschinen sind variable Kosten. .</t>
        </r>
      </text>
    </comment>
    <comment ref="D52" authorId="0" shapeId="0">
      <text>
        <r>
          <rPr>
            <sz val="11"/>
            <color indexed="81"/>
            <rFont val="Tahoma"/>
            <family val="2"/>
          </rPr>
          <t xml:space="preserve">z.B. allg. Versicherungen, Buchführung, betriebl. PKW-Anteil
</t>
        </r>
      </text>
    </comment>
    <comment ref="F52" authorId="0" shapeId="0">
      <text>
        <r>
          <rPr>
            <sz val="10"/>
            <color indexed="81"/>
            <rFont val="Tahoma"/>
            <family val="2"/>
          </rPr>
          <t>Prozentzahl abhängig von der Zahl der Pferde und dem Umfang sonstiger Betriebszweige.</t>
        </r>
      </text>
    </comment>
  </commentList>
</comments>
</file>

<file path=xl/comments9.xml><?xml version="1.0" encoding="utf-8"?>
<comments xmlns="http://schemas.openxmlformats.org/spreadsheetml/2006/main">
  <authors>
    <author>Segger, Volker (LEL)</author>
    <author>seggerv</author>
  </authors>
  <commentList>
    <comment ref="E16" authorId="0" shapeId="0">
      <text>
        <r>
          <rPr>
            <sz val="10"/>
            <color indexed="81"/>
            <rFont val="Tahoma"/>
            <family val="2"/>
          </rPr>
          <t xml:space="preserve">Beim Regelbesteuerer Nettowerte, beim Pauschalierer Bruttowerte eingeben.
</t>
        </r>
      </text>
    </comment>
    <comment ref="D41" authorId="1" shapeId="0">
      <text>
        <r>
          <rPr>
            <sz val="9"/>
            <color indexed="81"/>
            <rFont val="Tahoma"/>
            <family val="2"/>
          </rPr>
          <t xml:space="preserve">Eingabe der Prozent vom Verkaufspreis.
</t>
        </r>
      </text>
    </comment>
    <comment ref="E43" authorId="0" shapeId="0">
      <text>
        <r>
          <rPr>
            <sz val="12"/>
            <color indexed="81"/>
            <rFont val="Tahoma"/>
            <family val="2"/>
          </rPr>
          <t xml:space="preserve">Anfangswert </t>
        </r>
      </text>
    </comment>
    <comment ref="D47" authorId="0" shapeId="0">
      <text>
        <r>
          <rPr>
            <sz val="11"/>
            <color indexed="81"/>
            <rFont val="Tahoma"/>
            <family val="2"/>
          </rPr>
          <t xml:space="preserve">Ohne Arbeitsstunden, die bereits bei den variablen Kosten (Zeile 39) berücksichtigt wurden.
</t>
        </r>
      </text>
    </comment>
    <comment ref="F48" authorId="0" shapeId="0">
      <text>
        <r>
          <rPr>
            <b/>
            <sz val="11"/>
            <color indexed="81"/>
            <rFont val="Tahoma"/>
            <family val="2"/>
          </rPr>
          <t>Segger, Volker (LEL):</t>
        </r>
        <r>
          <rPr>
            <sz val="11"/>
            <color indexed="81"/>
            <rFont val="Tahoma"/>
            <family val="2"/>
          </rPr>
          <t xml:space="preserve">
AfA, Zinsansatz und Unterhaltung</t>
        </r>
      </text>
    </comment>
    <comment ref="F49" authorId="0" shapeId="0">
      <text>
        <r>
          <rPr>
            <b/>
            <sz val="11"/>
            <color indexed="81"/>
            <rFont val="Tahoma"/>
            <family val="2"/>
          </rPr>
          <t>Segger, Volker (LEL):</t>
        </r>
        <r>
          <rPr>
            <sz val="11"/>
            <color indexed="81"/>
            <rFont val="Tahoma"/>
            <family val="2"/>
          </rPr>
          <t xml:space="preserve">
AfA, Zinsansatz und Unterhaltung</t>
        </r>
      </text>
    </comment>
    <comment ref="D50" authorId="0" shapeId="0">
      <text>
        <r>
          <rPr>
            <sz val="10"/>
            <color indexed="81"/>
            <rFont val="Tahoma"/>
            <family val="2"/>
          </rPr>
          <t xml:space="preserve">Nur Maschinen, die unmittelbar der Pferdehaltung zugeordnet werden können (z.B. Hoflader, Miststreuer, Haferquetsche, Bahnebner).
</t>
        </r>
      </text>
    </comment>
    <comment ref="F50" authorId="0" shapeId="0">
      <text>
        <r>
          <rPr>
            <sz val="11"/>
            <color indexed="81"/>
            <rFont val="Tahoma"/>
            <family val="2"/>
          </rPr>
          <t xml:space="preserve">Abschreibungen und Zinsansatz.
</t>
        </r>
      </text>
    </comment>
    <comment ref="O50" authorId="1" shapeId="0">
      <text>
        <r>
          <rPr>
            <sz val="9"/>
            <color indexed="81"/>
            <rFont val="Tahoma"/>
            <family val="2"/>
          </rPr>
          <t>Unterhaltungskosten bei Maschinen sind variable Kosten. .</t>
        </r>
      </text>
    </comment>
    <comment ref="D52" authorId="0" shapeId="0">
      <text>
        <r>
          <rPr>
            <sz val="11"/>
            <color indexed="81"/>
            <rFont val="Tahoma"/>
            <family val="2"/>
          </rPr>
          <t xml:space="preserve">z.B. allg. Versicherungen, Buchführung, betriebl. PKW-Anteil
</t>
        </r>
      </text>
    </comment>
    <comment ref="F52" authorId="0" shapeId="0">
      <text>
        <r>
          <rPr>
            <sz val="10"/>
            <color indexed="81"/>
            <rFont val="Tahoma"/>
            <family val="2"/>
          </rPr>
          <t>Prozentzahl abhängig von der Zahl der Pferde und dem Umfang sonstiger Betriebszweige.</t>
        </r>
      </text>
    </comment>
  </commentList>
</comments>
</file>

<file path=xl/sharedStrings.xml><?xml version="1.0" encoding="utf-8"?>
<sst xmlns="http://schemas.openxmlformats.org/spreadsheetml/2006/main" count="2177" uniqueCount="486">
  <si>
    <t>€</t>
  </si>
  <si>
    <t>Besamung, Deckgeld</t>
  </si>
  <si>
    <t>Sonstiges</t>
  </si>
  <si>
    <t>Hauptleistung:</t>
  </si>
  <si>
    <t>Produktionsverfahren</t>
  </si>
  <si>
    <t>Nebenleistung:</t>
  </si>
  <si>
    <t xml:space="preserve">Bestandsergänzung: </t>
  </si>
  <si>
    <t>Hufschmied</t>
  </si>
  <si>
    <t>Tierarzt, Medikamente</t>
  </si>
  <si>
    <t>Mistentsorgung</t>
  </si>
  <si>
    <t>Wasser</t>
  </si>
  <si>
    <t>Einstreu</t>
  </si>
  <si>
    <t>Energie</t>
  </si>
  <si>
    <t>Tierhüterhaftpflichtversicherung</t>
  </si>
  <si>
    <t>Tierseuchenkasse</t>
  </si>
  <si>
    <t xml:space="preserve">var. Maschkosten </t>
  </si>
  <si>
    <t>kWh</t>
  </si>
  <si>
    <t>Erläuterungen:</t>
  </si>
  <si>
    <t>Futter 1</t>
  </si>
  <si>
    <t>Futter 2</t>
  </si>
  <si>
    <t>Futter 3</t>
  </si>
  <si>
    <t>Futter 4</t>
  </si>
  <si>
    <t>Futter 5</t>
  </si>
  <si>
    <t>Einh./ Jahr</t>
  </si>
  <si>
    <t>Jahre</t>
  </si>
  <si>
    <t>erweit. Haftpfl.vers.</t>
  </si>
  <si>
    <t xml:space="preserve"> </t>
  </si>
  <si>
    <t>Liter</t>
  </si>
  <si>
    <t xml:space="preserve"> - </t>
  </si>
  <si>
    <t>Einnahme div. durch</t>
  </si>
  <si>
    <t>(Boxenmiete, Dienstleistungen)</t>
  </si>
  <si>
    <t xml:space="preserve">Der Umfang der Bestandsergänzung (Anz.) muss dem Umfang </t>
  </si>
  <si>
    <t>der Alttierverkäufe (oben unter Nebenleistungen aufzuführen) entsprechen</t>
  </si>
  <si>
    <t>variable Lohnkosten</t>
  </si>
  <si>
    <t>€/ha</t>
  </si>
  <si>
    <t>Futter 6</t>
  </si>
  <si>
    <t>Leckstein</t>
  </si>
  <si>
    <t>kg/Tag</t>
  </si>
  <si>
    <t>€ je kg</t>
  </si>
  <si>
    <t>Tage/E.</t>
  </si>
  <si>
    <t>die Einnahmen sind entsprechend zu reduzieren:</t>
  </si>
  <si>
    <t>Mineralfutter</t>
  </si>
  <si>
    <t>Stroh</t>
  </si>
  <si>
    <t>brutto</t>
  </si>
  <si>
    <t>Sattelzeug</t>
  </si>
  <si>
    <t>Hafer</t>
  </si>
  <si>
    <t>Pellets</t>
  </si>
  <si>
    <t>Heulage Winter</t>
  </si>
  <si>
    <t>€/AKh</t>
  </si>
  <si>
    <t>netto</t>
  </si>
  <si>
    <t>Heu Sommer</t>
  </si>
  <si>
    <t>2,0 h/T. für 50 Pferde</t>
  </si>
  <si>
    <t>Kosten Stall und Lagerraum/J.</t>
  </si>
  <si>
    <t>anteilige Kosten Halle u. Reitplatz/J.</t>
  </si>
  <si>
    <t>Kosten Koppel/J.</t>
  </si>
  <si>
    <t>Vollkostenrechnung Pensionspferd</t>
  </si>
  <si>
    <t>Kosten Arbeit/Jahr (Lohnansatz)</t>
  </si>
  <si>
    <t>Summe Leistungen/Jahr</t>
  </si>
  <si>
    <t>variable Kosten/Jahr:</t>
  </si>
  <si>
    <t>Eingabe eigener Daten in den gelben Zellen !</t>
  </si>
  <si>
    <t xml:space="preserve">wenn diese selbst erzeugt werden. </t>
  </si>
  <si>
    <t>Heu Winter</t>
  </si>
  <si>
    <t xml:space="preserve">Summe variable Kosten/Jahr </t>
  </si>
  <si>
    <t>AKh/Pferd</t>
  </si>
  <si>
    <t>ha/Pferd</t>
  </si>
  <si>
    <t>Summe Festkosten und Arbeitskosten/J.</t>
  </si>
  <si>
    <t>Vollkostenrechnung Schulpferd</t>
  </si>
  <si>
    <t>Ausritte</t>
  </si>
  <si>
    <t>Versicherung</t>
  </si>
  <si>
    <t>Reitlehrer</t>
  </si>
  <si>
    <r>
      <t xml:space="preserve">Kalkulatorisches Betriebszweigergebnis/Jahr </t>
    </r>
    <r>
      <rPr>
        <sz val="12"/>
        <rFont val="Arial"/>
        <family val="2"/>
      </rPr>
      <t>(DB abzgl. Fest- u. Arbeitskosten)</t>
    </r>
  </si>
  <si>
    <t>Kostendeckender Preis für die Hauptleistung</t>
  </si>
  <si>
    <t>Stallmiete</t>
  </si>
  <si>
    <t>Mehrwertsteuer in der Pferdehaltung</t>
  </si>
  <si>
    <t>Stand:</t>
  </si>
  <si>
    <t>1) Eingenommene Mwst. des Pferdebetriebes</t>
  </si>
  <si>
    <t>Regelbesteuerter Betrieb</t>
  </si>
  <si>
    <t>Pauschalierender Betrieb</t>
  </si>
  <si>
    <t>(Gewerbebetrieb bzw. optierender ldw. Betrieb)</t>
  </si>
  <si>
    <t>( pauschalierender ldw. Betrieb)</t>
  </si>
  <si>
    <t>Art der Einnahme</t>
  </si>
  <si>
    <t>Mwst.satz</t>
  </si>
  <si>
    <t>Mwst. abzuführen</t>
  </si>
  <si>
    <t>Pensionspferd</t>
  </si>
  <si>
    <t xml:space="preserve"> -</t>
  </si>
  <si>
    <t>ja</t>
  </si>
  <si>
    <t>nein</t>
  </si>
  <si>
    <t>Rüttinger, 123/1, letzter Absatz</t>
  </si>
  <si>
    <t>Reit-/Kutschpferd</t>
  </si>
  <si>
    <t xml:space="preserve">Zuchtstute  </t>
  </si>
  <si>
    <t xml:space="preserve"> - kurzfristige Einstellung zur Bedeckung</t>
  </si>
  <si>
    <t>Umsatzsteuer-Anwendungserlass, 12.3, Abs.2, Fußnote 2</t>
  </si>
  <si>
    <t xml:space="preserve"> - langfristige Einstellung - Nutzung nur zur Zucht</t>
  </si>
  <si>
    <t>Rüttinger, 123/4</t>
  </si>
  <si>
    <t>Vermietung von Stallplätzen ohne weitere Dienstleistungen</t>
  </si>
  <si>
    <t>Vermietung von Pferden</t>
  </si>
  <si>
    <t>für Teilnahme am Unterricht</t>
  </si>
  <si>
    <t>ohne Teilnahme am Unterricht</t>
  </si>
  <si>
    <t>Ausbildung von Pferden (Beritt)</t>
  </si>
  <si>
    <t>Erteilen von Reitunterricht</t>
  </si>
  <si>
    <t>Reiterferien</t>
  </si>
  <si>
    <t>mit Übernachtung und pädagogischer Begleitung</t>
  </si>
  <si>
    <t>ohne Übernachtung und ohne pädagogische Begleitung</t>
  </si>
  <si>
    <t>Verkauf von Pferden</t>
  </si>
  <si>
    <t>zum Schlachten</t>
  </si>
  <si>
    <t>zur ldw. oder nicht ldw. Nutzung</t>
  </si>
  <si>
    <t>2) Ausgegebene Mwst. des Pferdebetriebes (= Vorsteuer)</t>
  </si>
  <si>
    <t xml:space="preserve"> Regelbesteuerter Betrieb</t>
  </si>
  <si>
    <t>(pauschalierender ldw. Betrieb)</t>
  </si>
  <si>
    <t>Art der Ausgabe</t>
  </si>
  <si>
    <t>Mwst. zurück</t>
  </si>
  <si>
    <t>Futtermittel, Stroh, Heu</t>
  </si>
  <si>
    <t>von pauschalierendem landwirt. Betrieb</t>
  </si>
  <si>
    <t>von regelbesteuertem landw. Betrieb</t>
  </si>
  <si>
    <t>von Landhändler, Genossenschaft</t>
  </si>
  <si>
    <t>Pferde, Fohlen</t>
  </si>
  <si>
    <t>von Händler</t>
  </si>
  <si>
    <t>von Privatperson</t>
  </si>
  <si>
    <t>Dünger, Diesel, Pflanzenschutzmitel</t>
  </si>
  <si>
    <t>Strom</t>
  </si>
  <si>
    <t>Maschinen, Reparaturen</t>
  </si>
  <si>
    <t>Gebäude, Handwerker</t>
  </si>
  <si>
    <t>Dienstleistungen (z.B. Steuerberater)</t>
  </si>
  <si>
    <t>Haftungsausschluss: Für Folgen, die sich aus der Anwendung dieser Tabelle ergeben, wird keine Haftung übernommen.</t>
  </si>
  <si>
    <t>entfällt</t>
  </si>
  <si>
    <t>dt/Pferd und Jahr</t>
  </si>
  <si>
    <t>Einheiten</t>
  </si>
  <si>
    <r>
      <t xml:space="preserve">Deckungsbeitrag/Jahr </t>
    </r>
    <r>
      <rPr>
        <b/>
        <i/>
        <sz val="12"/>
        <rFont val="Arial"/>
        <family val="2"/>
      </rPr>
      <t>(für die Planung zu verwenden)</t>
    </r>
  </si>
  <si>
    <t>5-jähr. Nutz.dauer</t>
  </si>
  <si>
    <r>
      <t xml:space="preserve">bei </t>
    </r>
    <r>
      <rPr>
        <b/>
        <i/>
        <sz val="12"/>
        <rFont val="Arial"/>
        <family val="2"/>
      </rPr>
      <t>Pensionspferden</t>
    </r>
    <r>
      <rPr>
        <sz val="12"/>
        <rFont val="Arial"/>
        <family val="2"/>
      </rPr>
      <t xml:space="preserve"> ist die eingenommene Mwst. grundsätzlich abzuführen,</t>
    </r>
  </si>
  <si>
    <t>Die weiß hinterlegten Felder weisen die Rechenergebnisse aus, sie sind gegen irrtümliche Eingaben geschützt.</t>
  </si>
  <si>
    <t>In der Spalte F sind die Tage pro Jahr anzugeben, an denen dieses Futtermittel angeboten wird. So ist es möglich, eine unterschiedliche Fütterung im Sommer und Winter zu berücksichtigen.</t>
  </si>
  <si>
    <t>Auch bei der Einstreu können 2 Arten berücksichtigt werden.</t>
  </si>
  <si>
    <r>
      <t>Beim Wasser sind die Mengen in Liter je Tag und der Wasserpreis je m</t>
    </r>
    <r>
      <rPr>
        <vertAlign val="superscript"/>
        <sz val="11"/>
        <rFont val="Arial"/>
        <family val="2"/>
      </rPr>
      <t xml:space="preserve">3 </t>
    </r>
    <r>
      <rPr>
        <sz val="11"/>
        <rFont val="Arial"/>
        <family val="2"/>
      </rPr>
      <t>einzugeben.</t>
    </r>
  </si>
  <si>
    <t>Die Arbeit wird in der Regel von Familien-AK oder fest angestellten Lohn-AK erbracht, ihre Kosten haben also Festkostencharakter.</t>
  </si>
  <si>
    <t>anteilige Festkosten Maschinen/J.</t>
  </si>
  <si>
    <t>Bei den Maschinenkosten sind nur die Maschinen zu berücksichtigen, die unmittelbar der Pferdehaltung dienen, nicht aber die für die Flächenbewirtschaftung benötigten..</t>
  </si>
  <si>
    <t>anteilige Gemeinkosten/J.</t>
  </si>
  <si>
    <t>Zu den Gemeinkosten zählen alle Kosten, die sich keinem Betriebszweig allei zuordnen lassen können (z.B. Kosten des Betriebs-PKW, allgemeine Versicherungen, Buchführung).</t>
  </si>
  <si>
    <t>Da die in der Unterrichtsvergütung enthaltene Mehrwertsteuer an das Finanzamt abzuführen ist, sind für die Berechnung die Nettobeträge maßgeblich. Das Programm ermittelt diese automatisch aus den in Spalte F eingegebenen Bruttobeträgen.</t>
  </si>
  <si>
    <t>1.1 Leistungen des Verfahrens</t>
  </si>
  <si>
    <t>1.2 Variable Kosten des Verfahrens</t>
  </si>
  <si>
    <t>Im unteren Teil sind die restlichen vom Betrieb zu tragenden variablen Kosten je Pensionspferd einzugeben. Die Kosten für Tierarzt und Schmied zählen in der Regel nicht dazu.</t>
  </si>
  <si>
    <t>1.3 Deckungsbeitrag (DB) des Verfahrens</t>
  </si>
  <si>
    <t>1.4 Festkosten und Arbeitskosten</t>
  </si>
  <si>
    <t>1.5 Kalkulatorisches Betriebszweigergebnis (BZE)</t>
  </si>
  <si>
    <t xml:space="preserve">1.6 Kostendeckender Pensionspreis  </t>
  </si>
  <si>
    <t>2.1 Leistungen des Verfahrens</t>
  </si>
  <si>
    <t>2.2 Variable Kosten des Verfahrens</t>
  </si>
  <si>
    <t>2.3 Deckungsbeitrag (DB) des Verfahrens</t>
  </si>
  <si>
    <t>2.4 Festkosten und Arbeitskosten</t>
  </si>
  <si>
    <t>2.5 Kalkulatorisches Betriebszweigergebnis (BZE)</t>
  </si>
  <si>
    <t>Diese Jahreskosten werden mit der einzugebenden Investionssumme je Stallplatz bzw. der anteiligen Investitionssumme für die Reitanlage multipliziert.</t>
  </si>
  <si>
    <t xml:space="preserve">Kostendeckender Pensionspreis für </t>
  </si>
  <si>
    <t>je Stallplatz</t>
  </si>
  <si>
    <t>Belegungsquote/Jahr:</t>
  </si>
  <si>
    <t>In der Spalte G werden die sich ergebenden Futter- und Einstreumengen in dt pro Jahr bei ganzjähriger Belegung ausgewiesen.</t>
  </si>
  <si>
    <t xml:space="preserve">Durchschnittliche Nutzungsdauer je Schulpferd im Betrieb: </t>
  </si>
  <si>
    <t>Pferdeverkauf</t>
  </si>
  <si>
    <t>Bestandsergänzung: neues Schulpferd</t>
  </si>
  <si>
    <t xml:space="preserve">Erlös/Jahr  </t>
  </si>
  <si>
    <t>Kosten/Jahr</t>
  </si>
  <si>
    <t>variable Kosten</t>
  </si>
  <si>
    <t>Zuchtverbandsbeitrag</t>
  </si>
  <si>
    <t>€ je Einh.</t>
  </si>
  <si>
    <t xml:space="preserve">Die Bewertung der Futtermittel und von Stroh erfolgt zu durchschnittlichen Marktpreisen (auch dann, </t>
  </si>
  <si>
    <t>Der DB ist der Beitrag eines Produktionsverfahrens zur Deckung der festen Kosten des Betriebes (einschließlich der Löhne für fest angestellte Fremd-AK) sowie der von den nicht entlohnten Familien-Arbeitskräften erbrachten Arbeit. Bei der Planung bzw. Optimierung eines Betriebes sind vorrangig die Produktionsverfahren zu wählen, die den höchsten DB bezogen auf den knappsten Faktor im Betrieb haben. Am knappsten sind in der Regel die Stallplätze.</t>
  </si>
  <si>
    <t>Ob sich dieser Preis am Markt durchsetzen lässt, hängt vom allgemeinen Preisniveau in der Region ab, vor allem aber auch von den vom Betriebsleiter selbst zu beeinflussenden Faktoren (z.B. Sauberkeit und Ordnung, Pünktlichkeit, Kundenverhalten usw.).</t>
  </si>
  <si>
    <t>1. Vollkostenberechnung Pensionspferd (Registerblatt 1_PP)</t>
  </si>
  <si>
    <t>2. Vollkostenberechnung Schulpferd (Registerblatt 2_SP)</t>
  </si>
  <si>
    <t>Zinsansatz für Tiervermögen</t>
  </si>
  <si>
    <t>Fohlen</t>
  </si>
  <si>
    <t xml:space="preserve">Durchschnittliche Nutzungsdauer je Stute im Betrieb: </t>
  </si>
  <si>
    <t>Bestandsergänzung: Jungstute</t>
  </si>
  <si>
    <t>Hoflader 18 kW</t>
  </si>
  <si>
    <t>Regel-besteuerung</t>
  </si>
  <si>
    <t>Pauscha-lierung</t>
  </si>
  <si>
    <t>x</t>
  </si>
  <si>
    <r>
      <t>Umsatzbesteuerung</t>
    </r>
    <r>
      <rPr>
        <sz val="14"/>
        <rFont val="Arial"/>
        <family val="2"/>
      </rPr>
      <t xml:space="preserve"> (bitte ankreuzen)</t>
    </r>
    <r>
      <rPr>
        <b/>
        <sz val="14"/>
        <rFont val="Arial"/>
        <family val="2"/>
      </rPr>
      <t>:</t>
    </r>
  </si>
  <si>
    <t xml:space="preserve">€ je Einheit </t>
  </si>
  <si>
    <t>für die Berechung maßgeblicher Wert in € je Einheit (netto oder brutto)</t>
  </si>
  <si>
    <t>Pferdeverkäufe von Pauschalierern</t>
  </si>
  <si>
    <t>Faktor</t>
  </si>
  <si>
    <t>Boxenmiete, Dienstleistungen</t>
  </si>
  <si>
    <t>Kauf von Futter und Tieren vom Handel</t>
  </si>
  <si>
    <t>Mwst.-Satz</t>
  </si>
  <si>
    <t>Pferdeverkäufe von Regelbesteuerern</t>
  </si>
  <si>
    <t>Anwendung bei</t>
  </si>
  <si>
    <t>Hinweise zur Besteuerung: vgl. Reg.blatt Mwst.</t>
  </si>
  <si>
    <t>Hinweis zur Besteuerung: vgl. Reg.blatt Mwst.</t>
  </si>
  <si>
    <t>Hinweise zur Besteuerung: 
vgl. Reg.blatt Mwst.</t>
  </si>
  <si>
    <t xml:space="preserve">Tatsächlich erreichte Verwertung der eingesetzten Arbeit </t>
  </si>
  <si>
    <t>je AKh</t>
  </si>
  <si>
    <t>je Schulpferd</t>
  </si>
  <si>
    <t>Koppelservice</t>
  </si>
  <si>
    <t>Chip, Pferdepass Fohlen</t>
  </si>
  <si>
    <t>Vollkostenrechnung Pferde</t>
  </si>
  <si>
    <t>3,5-Jähriger</t>
  </si>
  <si>
    <t>Fohlen, 6 Mon.</t>
  </si>
  <si>
    <t>Hafer Sommer</t>
  </si>
  <si>
    <t>Hafer Winter</t>
  </si>
  <si>
    <t>Stroh Sommer</t>
  </si>
  <si>
    <t>Stroh Winter</t>
  </si>
  <si>
    <t>Aussschneiden</t>
  </si>
  <si>
    <t>Vollbeschlag (1x)</t>
  </si>
  <si>
    <t>Beritt (3 Mon.)</t>
  </si>
  <si>
    <t>je Tier</t>
  </si>
  <si>
    <t>je Einheit</t>
  </si>
  <si>
    <t>Altpferd</t>
  </si>
  <si>
    <t xml:space="preserve">Mit dieser Excel-Anwendung können die zur Deckung sämtlicher Kosten notwendigen </t>
  </si>
  <si>
    <t>Erlöse (z.B. Stallmiete je Monat, Erlös je Unterrichtsstunde, Erlös je Fohlen) ermittelt werden.</t>
  </si>
  <si>
    <t>In der Zeile 3 ist einzugeben, ob die Berechnungen für einen regelbesteuerten oder pauschalierenden Betrieb durchgeführt werden. Hinweise zur Umsatzsteuer finden Sie auf dem Registerblatt " 5_Mwst."</t>
  </si>
  <si>
    <t>In der Zeile 5 ist das kalkulierte Verfahren genau zu beschreiben. So sind für den Betriebszweig Schulpferdehaltung mehrere Produktionsverfahren denkbar (z.B. Großpferd - Kleinpferd; mit unterschiedlichem Unterrichtsangebot usw.)</t>
  </si>
  <si>
    <r>
      <t xml:space="preserve">Das </t>
    </r>
    <r>
      <rPr>
        <b/>
        <sz val="12"/>
        <rFont val="Arial"/>
        <family val="2"/>
      </rPr>
      <t>kalkulatorische Betriebszweigergebnis</t>
    </r>
    <r>
      <rPr>
        <sz val="12"/>
        <rFont val="Arial"/>
        <family val="2"/>
      </rPr>
      <t xml:space="preserve"> stellt die Entlohnung des unternehmerischen Risikos dar (Unternehmergewinn bzw. -verlust). Es hat häufig einen negativen Wert, da bei seiner Berechnung auch alle kalkulatorischen Kosten (Lohn-, Zins- und Pachtansätze) berücksichtigt werden.</t>
    </r>
  </si>
  <si>
    <t>Erlös je Jungpferd</t>
  </si>
  <si>
    <t>Aufzuchtdauer (Mon.)</t>
  </si>
  <si>
    <t>Vollkostenrechnung Fohlenaufzucht</t>
  </si>
  <si>
    <t>entspricht Jahre</t>
  </si>
  <si>
    <t xml:space="preserve">entspr.Tage </t>
  </si>
  <si>
    <t>Tage Sommer</t>
  </si>
  <si>
    <t>Tage Winter</t>
  </si>
  <si>
    <t>Wert brutto</t>
  </si>
  <si>
    <t>3,5 Jähriger</t>
  </si>
  <si>
    <t>Stallmiete Auktion</t>
  </si>
  <si>
    <t>Schulstunden Kinder</t>
  </si>
  <si>
    <t>Schulstunden Erw.</t>
  </si>
  <si>
    <t>Auktionsgebühren</t>
  </si>
  <si>
    <t>dav. Monate Winter</t>
  </si>
  <si>
    <t>Summe Futter:</t>
  </si>
  <si>
    <t>AKh/Jahr</t>
  </si>
  <si>
    <t>ha/Platz</t>
  </si>
  <si>
    <t>je Platz</t>
  </si>
  <si>
    <t xml:space="preserve">Aufzuchtfutter </t>
  </si>
  <si>
    <t>Reiterferien (Wochen)</t>
  </si>
  <si>
    <r>
      <t xml:space="preserve">Jungpferdeaufzucht eig. Pferd, 7.- 40. Mon. (=34 Mon.), angeritten, </t>
    </r>
    <r>
      <rPr>
        <b/>
        <sz val="14"/>
        <color indexed="10"/>
        <rFont val="Arial"/>
        <family val="2"/>
      </rPr>
      <t>Verkauf auf Auktion</t>
    </r>
  </si>
  <si>
    <t>Die Berechnungen beziehen sich jeweils auf ein gehaltenes Pferd im Jahr bzw. auf ein erzeugtes Jungpferd.</t>
  </si>
  <si>
    <t>Folgende Verfahren der Pferdehaltung sind beispielhaft dargestellt:</t>
  </si>
  <si>
    <t>5. Mehrwertsteuer (Registerblatt 5_MwSt.)</t>
  </si>
  <si>
    <t>3. Vollkostenberechnung Zuchtstute (Registerblatt 3a und 3b)</t>
  </si>
  <si>
    <t>Beim Arbeits- und Kapitalbedarf sind die Werte je Platz anzugeben, das Programm berücksichtigt dann den mehrjährigen Haltungsabschnitt bei der Ermittlung der Kosten je erzeugtem Tier.</t>
  </si>
  <si>
    <t>Betreuung Reiterferien</t>
  </si>
  <si>
    <r>
      <rPr>
        <b/>
        <sz val="11"/>
        <rFont val="Arial"/>
        <family val="2"/>
      </rPr>
      <t>Deckungsbeitrag/Kind u. Woche</t>
    </r>
    <r>
      <rPr>
        <sz val="11"/>
        <rFont val="Arial"/>
        <family val="2"/>
      </rPr>
      <t>: Nettoerlös abzgl. variable Kosten für Verpflegung, Unterrichtsmaterial usw.)</t>
    </r>
  </si>
  <si>
    <t>600 €/Woche bei 5 SP</t>
  </si>
  <si>
    <t>Ergänzungsfutter</t>
  </si>
  <si>
    <t>Fohlenstarter</t>
  </si>
  <si>
    <t>Faktor Mwst.</t>
  </si>
  <si>
    <r>
      <t xml:space="preserve">Welcher Mwst.-Satz für welche Leistung?
</t>
    </r>
    <r>
      <rPr>
        <sz val="16"/>
        <color indexed="10"/>
        <rFont val="Arial"/>
        <family val="2"/>
      </rPr>
      <t>(vgl. auch Reg.blatt "5 Mwst.")</t>
    </r>
  </si>
  <si>
    <t>Anzahl./ Jahr</t>
  </si>
  <si>
    <t>Heu</t>
  </si>
  <si>
    <t>Einheiten je PV</t>
  </si>
  <si>
    <t>Produktionsverfahren (PV)</t>
  </si>
  <si>
    <t>Jahre/PV</t>
  </si>
  <si>
    <t>Maßgebl. Mwst.-Satz</t>
  </si>
  <si>
    <t>für die Berechung maßgeblicher Wert in € je Einheit des PV</t>
  </si>
  <si>
    <t>% Jahreskosten</t>
  </si>
  <si>
    <t>€ Invest./Pferd</t>
  </si>
  <si>
    <t>€ Betrieb insg.</t>
  </si>
  <si>
    <t>€  je Pferd</t>
  </si>
  <si>
    <t>€ Invest./Platz</t>
  </si>
  <si>
    <t>Vollkostenrechnung Fohlenaufzucht (eigenes Pferd)</t>
  </si>
  <si>
    <t>Kosten Arbeit (Lohnansatz)</t>
  </si>
  <si>
    <t>2 DB'e a`200 €</t>
  </si>
  <si>
    <r>
      <t xml:space="preserve">1 Schulpferd, </t>
    </r>
    <r>
      <rPr>
        <b/>
        <sz val="14"/>
        <color indexed="10"/>
        <rFont val="Arial"/>
        <family val="2"/>
      </rPr>
      <t>mit Reiterferien</t>
    </r>
    <r>
      <rPr>
        <b/>
        <sz val="14"/>
        <rFont val="Arial"/>
        <family val="2"/>
      </rPr>
      <t xml:space="preserve"> (6 Wo./J., 2 Kinder/Schulpferd u. Wo., 10 Reitstd. je Kind, 5 Reitschüler je Std., Deckungsbeitrag/Ki. u. Wo.: 200 € netto)</t>
    </r>
  </si>
  <si>
    <t>Jahr 1</t>
  </si>
  <si>
    <t>Jahr 2</t>
  </si>
  <si>
    <t>Jahr 3</t>
  </si>
  <si>
    <t>Jahr 4</t>
  </si>
  <si>
    <t>Juli</t>
  </si>
  <si>
    <t>Absetzen</t>
  </si>
  <si>
    <t>Wintermonate</t>
  </si>
  <si>
    <t>März</t>
  </si>
  <si>
    <t>September</t>
  </si>
  <si>
    <t>Monat</t>
  </si>
  <si>
    <t>Alter Pferd</t>
  </si>
  <si>
    <t>Nettowert</t>
  </si>
  <si>
    <t>Stallmiete Hobbypferde (Regelfall) und Dienstleistungen</t>
  </si>
  <si>
    <t>Stallnmiete für Jung-, Rentner- und Arbeitspferde von Landwirten</t>
  </si>
  <si>
    <t>Pferdeverkäufe von Pauschalierern (Mwst. muss nicht abgeführt werden)</t>
  </si>
  <si>
    <t>Tage/Einh.</t>
  </si>
  <si>
    <t>AfA (%)</t>
  </si>
  <si>
    <t>Zinsansatz (i/2) %</t>
  </si>
  <si>
    <t>Unterhaltung (%)</t>
  </si>
  <si>
    <t xml:space="preserve">Heu </t>
  </si>
  <si>
    <t>Gras Koppel So.</t>
  </si>
  <si>
    <t>Summe Futter</t>
  </si>
  <si>
    <r>
      <t xml:space="preserve">Kostendeckender Preis für die Hauptleistung </t>
    </r>
    <r>
      <rPr>
        <b/>
        <sz val="16"/>
        <rFont val="Arial"/>
        <family val="2"/>
      </rPr>
      <t>(ohne Nebenleistungen)</t>
    </r>
  </si>
  <si>
    <t>Gras Koppel Sommer</t>
  </si>
  <si>
    <t>Sattelzeug gebraucht</t>
  </si>
  <si>
    <t>Akh Stallarbeiten/J.</t>
  </si>
  <si>
    <t>var. Kosten Reitunterricht</t>
  </si>
  <si>
    <t>Einschl. Sozialabgaben</t>
  </si>
  <si>
    <t>Ansätze für Festkosten/Jahr:</t>
  </si>
  <si>
    <t>Gras Weide</t>
  </si>
  <si>
    <t>Futter 7</t>
  </si>
  <si>
    <t>Grünfutter Weide</t>
  </si>
  <si>
    <t>Gruppenstd. Kinder</t>
  </si>
  <si>
    <t>Leistungen je Pferd und Jahr</t>
  </si>
  <si>
    <t>Art des Unterrichts</t>
  </si>
  <si>
    <t>Unterrichtswochen/Jahr:</t>
  </si>
  <si>
    <t>Anzahl Schulpferde:</t>
  </si>
  <si>
    <t>Summe Unterricht</t>
  </si>
  <si>
    <t>Vollkostenrechnung Schulpferd (SP)</t>
  </si>
  <si>
    <t>Tatsächlich erreichte Verwertung der eingesetzten Arbeit ständiger AK</t>
  </si>
  <si>
    <t>Haftpflicht</t>
  </si>
  <si>
    <t>2_SP: Schulpferd</t>
  </si>
  <si>
    <t xml:space="preserve">Beim Futter können 6 verschiedene Futtermittel berüchsichtigt werden. Es sind die täglich verfütterten Mengen anzugeben sowie deren durchschnittlicher Marktpreis je kg. </t>
  </si>
  <si>
    <t xml:space="preserve">Ist das kalkulatorische BZE größer als Null, werden alle Kosten gedeckt. Langfristig sollte dies das Ziel eines jeden Unternehmens sein. Ist das BZE negativ, wird der angestrebte Lohnansatz (Zelle F 44) nicht erreicht. </t>
  </si>
  <si>
    <r>
      <t>Kosten Arbeit/Jahr von ständigen AK (</t>
    </r>
    <r>
      <rPr>
        <sz val="12"/>
        <rFont val="Arial"/>
        <family val="2"/>
      </rPr>
      <t>Lohnansatz)</t>
    </r>
  </si>
  <si>
    <t>Kraftfutter Sommer</t>
  </si>
  <si>
    <t>Kraftfutter Winter</t>
  </si>
  <si>
    <t xml:space="preserve">Starterfutter </t>
  </si>
  <si>
    <t>die Hauptleistung</t>
  </si>
  <si>
    <t>Die Differenz zwischen den Leistungen und variablen Kosten eines Verfahrens ist der Deckungsbeitrag.</t>
  </si>
  <si>
    <t>Mit Ausnahme von Pferdezuchtbetrieben wenden die meisten Pferdebetriebe die Regelbesteuerung an. Für sie stellt die Mehrwertsteuer quasi einen durchlaufenden Posten dar: bezahlte MwSt. erhalten sie zurück, eingenommene MwSt. müssen sie abführen. Für die betriebswirtschaftliche Kalkulation von regelbesteuerten Betrieben bedeutet dies, dass alle Berechnungen mit Nettowerten, also ohne MwSt. durchzuführen sind.</t>
  </si>
  <si>
    <t>Bei Pauschalierung entspricht die Nettoleistung (Spalte E) der Bruttoleistung, da keine MwSt. abgeführt werden muss.</t>
  </si>
  <si>
    <t>Summe Einstreu:</t>
  </si>
  <si>
    <t>Von der exakten Abschätzung des betriebsindividuellen Arbeitsbedarfs je Pferd und Jahr in Stunden (AKh) hängt die zutreffende Berechnung des eigentlich erforderlichen Pensionspreises wesentlich ab: im vorgegebenen Beispiel sind die Kosten der Arbeit deutlich höher als die variablen Kosten.</t>
  </si>
  <si>
    <t>Zu den Gemeinkosten zählen alle Kosten, die sich keinem Betriebszweig allein zuordnen lassen (z.B. Kosten des Betriebs-PKW, allgemeine Versicherungen, Buchführung usw.).</t>
  </si>
  <si>
    <t>Stall</t>
  </si>
  <si>
    <t>Halle</t>
  </si>
  <si>
    <t>Maschinen</t>
  </si>
  <si>
    <t>Art des Unterrichts (z.B. Gruppenstd. 60 Min. a' 5 TN)</t>
  </si>
  <si>
    <t>Erlös je Einheit und Teilnehmer netto</t>
  </si>
  <si>
    <t>Erlös je Einheit und Teilnehmer brutto</t>
  </si>
  <si>
    <t>Dauer je Unterrichtseinheit in Stunden</t>
  </si>
  <si>
    <t xml:space="preserve">Erlös je Schulpferd und Jahr  </t>
  </si>
  <si>
    <t>Unterrichts-Einh./ Woche</t>
  </si>
  <si>
    <t>Teilnehmer je U.Einh.</t>
  </si>
  <si>
    <t>Summe:</t>
  </si>
  <si>
    <t>Unterricht:</t>
  </si>
  <si>
    <t>Sonstige Nebenleistung</t>
  </si>
  <si>
    <t>Summe Unterrichtseinheiten je Schulpferd u. Jahr</t>
  </si>
  <si>
    <t>Abweichung der Erlöse zur GuV:</t>
  </si>
  <si>
    <t>Wenn keine Eingabe in E 39, werden die Kosten des Reitunterrichts In D46 bzw. I46 berücksichtigt.</t>
  </si>
  <si>
    <t>Organisation und Betreuung des Unterrichts:</t>
  </si>
  <si>
    <t>Gruppenstd. Bambini (30 Min.)</t>
  </si>
  <si>
    <t>Reitbeteiligung (Monate)</t>
  </si>
  <si>
    <t>Gruppenstd. Erwachsene</t>
  </si>
  <si>
    <t>2,0 h/Tag für 50 Pferde</t>
  </si>
  <si>
    <t>2,0 h/Tag für 30 Pferde</t>
  </si>
  <si>
    <t>Einzel- und Longenstd. (30 Min.)</t>
  </si>
  <si>
    <t>1)</t>
  </si>
  <si>
    <r>
      <t xml:space="preserve">Fohlen/Jungpferd </t>
    </r>
    <r>
      <rPr>
        <vertAlign val="superscript"/>
        <sz val="11"/>
        <color theme="9" tint="-0.249977111117893"/>
        <rFont val="Arial"/>
        <family val="2"/>
      </rPr>
      <t>1)</t>
    </r>
  </si>
  <si>
    <r>
      <t xml:space="preserve">Rentnerpferd </t>
    </r>
    <r>
      <rPr>
        <vertAlign val="superscript"/>
        <sz val="11"/>
        <color theme="9" tint="-0.249977111117893"/>
        <rFont val="Arial"/>
        <family val="2"/>
      </rPr>
      <t>1)</t>
    </r>
  </si>
  <si>
    <r>
      <t xml:space="preserve">Arbeitspferd </t>
    </r>
    <r>
      <rPr>
        <vertAlign val="superscript"/>
        <sz val="11"/>
        <color theme="9" tint="-0.249977111117893"/>
        <rFont val="Arial"/>
        <family val="2"/>
      </rPr>
      <t>1)</t>
    </r>
  </si>
  <si>
    <t>im Vorjahr nicht über 22.000 Euro (bis 2019: 17.500) Euro gelegen hat</t>
  </si>
  <si>
    <t>und</t>
  </si>
  <si>
    <t>im laufenden Jahr voraussichtlich nicht mehr als 50.000 Euro betragen wird.</t>
  </si>
  <si>
    <r>
      <t xml:space="preserve">Anspruch auf den Kleinunternehmer-Status haben Unternehmer und Selbstständige, deren </t>
    </r>
    <r>
      <rPr>
        <b/>
        <i/>
        <sz val="10"/>
        <rFont val="Arial"/>
        <family val="2"/>
      </rPr>
      <t>Umsatz</t>
    </r>
    <r>
      <rPr>
        <i/>
        <sz val="10"/>
        <rFont val="Arial"/>
        <family val="2"/>
      </rPr>
      <t xml:space="preserve"> </t>
    </r>
    <r>
      <rPr>
        <b/>
        <i/>
        <sz val="10"/>
        <rFont val="Arial"/>
        <family val="2"/>
      </rPr>
      <t>mit umsatzsteuerpflichtigen Lieferungen und Leistungen</t>
    </r>
  </si>
  <si>
    <t>Die Kleinunternehmerregelung kann für kleine Pferdepensionen und Reitschulen interessant sein.</t>
  </si>
  <si>
    <t>(Bitte die Hnweise zur Kleinunternehmerregelung unter der Tabelle beachten!</t>
  </si>
  <si>
    <t>7% / 19%</t>
  </si>
  <si>
    <t>0% /19%</t>
  </si>
  <si>
    <t xml:space="preserve">Therapeutisches Reiten  </t>
  </si>
  <si>
    <t>(Besteuerung abhängig von der Ausbildung des Therapeuten)</t>
  </si>
  <si>
    <t xml:space="preserve"> - langfristige Einst.. - Nutzung auch für Freizeit und Sport</t>
  </si>
  <si>
    <t xml:space="preserve">Hinweis zur Kleinunternehmerregelung nach § 19 UStG: </t>
  </si>
  <si>
    <t>Wenn das Finanzamt Sie als Kleinunternehmer anerkennt, brauchen Sie in Ihren Rechnungen keine Mehrwertsteuer ausweisen. Im Gegenzug bekommen Sie dafür aber auch nicht die „Vorsteuer“ erstattet. Als Vorsteuer bezeichnet man die Umsatzsteuer (= Mehrwertsteuer), die Sie selbst bei den Einkäufen für Ihr eigenes Unternehmen bezahlen.</t>
  </si>
  <si>
    <t>Maßgeblicher Mwst.-Satz für die Leistungen:</t>
  </si>
  <si>
    <t>Unterhalt.(%)</t>
  </si>
  <si>
    <r>
      <t xml:space="preserve">Zinsansatz % (i/2) </t>
    </r>
    <r>
      <rPr>
        <b/>
        <vertAlign val="superscript"/>
        <sz val="12"/>
        <rFont val="Arial"/>
        <family val="2"/>
      </rPr>
      <t xml:space="preserve"> 1)</t>
    </r>
  </si>
  <si>
    <t>1) Die Hälfte des Kalkulationszinssatzes.</t>
  </si>
  <si>
    <r>
      <t xml:space="preserve">Teilnehmer / Woche
</t>
    </r>
    <r>
      <rPr>
        <sz val="12"/>
        <rFont val="Arial"/>
        <family val="2"/>
      </rPr>
      <t>(Sp.M x Sp.N)</t>
    </r>
  </si>
  <si>
    <r>
      <t xml:space="preserve">TN-Einheiten /Jahr
</t>
    </r>
    <r>
      <rPr>
        <sz val="12"/>
        <rFont val="Arial"/>
        <family val="2"/>
      </rPr>
      <t>(N 6 x Sp.O)</t>
    </r>
  </si>
  <si>
    <r>
      <t xml:space="preserve">TN-Einh./SP und Jahr
</t>
    </r>
    <r>
      <rPr>
        <sz val="12"/>
        <rFont val="Arial"/>
        <family val="2"/>
      </rPr>
      <t>(Sp.P / Q 6)</t>
    </r>
  </si>
  <si>
    <t>Netto-Erlös insg.
(Sp.P x Sp.E)</t>
  </si>
  <si>
    <t>Zeitbedarf für Unterricht in Stunden/Jahr
          insg.          je SP
Sp.M x Sp.G x N6 / Q6</t>
  </si>
  <si>
    <t>Summe Einsatzstunden je SP u. Jahr:</t>
  </si>
  <si>
    <t>Leistungen Unterricht je Woche:</t>
  </si>
  <si>
    <t>variable Lohnkosten je Woche:</t>
  </si>
  <si>
    <t>Überschuss je Woche je SP</t>
  </si>
  <si>
    <t xml:space="preserve">Überschuss je Woche </t>
  </si>
  <si>
    <t>Überzählige / fehlende Wochen Unterricht</t>
  </si>
  <si>
    <r>
      <t xml:space="preserve">1 Zuchtstute mit Fohlen, Großpferd, 10-jährige Nutzungsdauer, Abfohlrate 70%, Regelbesteuerung der Umsatzsteuer, </t>
    </r>
    <r>
      <rPr>
        <b/>
        <sz val="14"/>
        <color rgb="FFFF0000"/>
        <rFont val="Arial"/>
        <family val="2"/>
      </rPr>
      <t>2022</t>
    </r>
  </si>
  <si>
    <t>Fohlen, 6 Monate</t>
  </si>
  <si>
    <t>Vollkostenrechnung Zuchtstute mit Fohlen</t>
  </si>
  <si>
    <t>Der pauschalierende Betrieb darf die enthaltene Mwst. behalten.</t>
  </si>
  <si>
    <r>
      <t xml:space="preserve">Jungpferdeaufzucht eig. Pferd, 7.- 40. Mon. (=34 Mon.), angeritten, gehobene Qualität, </t>
    </r>
    <r>
      <rPr>
        <b/>
        <sz val="14"/>
        <color indexed="10"/>
        <rFont val="Arial"/>
        <family val="2"/>
      </rPr>
      <t>Verkauf auf Auktion</t>
    </r>
  </si>
  <si>
    <r>
      <t xml:space="preserve">Kalkulatorisches Betriebszweigergebnis/Jahr </t>
    </r>
    <r>
      <rPr>
        <sz val="12"/>
        <rFont val="Arial"/>
        <family val="2"/>
      </rPr>
      <t>(Summe Leistungen abzgl. Gesamtkosten)</t>
    </r>
  </si>
  <si>
    <r>
      <t>Gesamtkosten/Jahr</t>
    </r>
    <r>
      <rPr>
        <sz val="16"/>
        <rFont val="Arial"/>
        <family val="2"/>
      </rPr>
      <t xml:space="preserve"> (variable u. feste Kosten sowie Arbeitskosten)</t>
    </r>
  </si>
  <si>
    <t>Nebenkosten:</t>
  </si>
  <si>
    <t>Der Mwst.-Satz für die Jungstute hängt ab vom Status des Verkäufers.</t>
  </si>
  <si>
    <t>Verkaufsgebühren</t>
  </si>
  <si>
    <t xml:space="preserve">Der Umfang der Bestandsergänzung (Einh. Je PV) muss dem Umfang </t>
  </si>
  <si>
    <r>
      <t xml:space="preserve">1 Zuchtstute mit Fohlen, Großpferd, 10-jährige Nutzungsdauer, Abfohlrate 70%, Pauschalierung der Umsatzsteuer, </t>
    </r>
    <r>
      <rPr>
        <b/>
        <sz val="14"/>
        <color rgb="FFFF0000"/>
        <rFont val="Arial"/>
        <family val="2"/>
      </rPr>
      <t>2022</t>
    </r>
  </si>
  <si>
    <r>
      <t xml:space="preserve">Jungpferdeaufzucht eig. Pferd, 7.- 40. Mon. (=34 Mon.), angeritten, Verkauf ab Hof, Pauschalierender Betrieb, </t>
    </r>
    <r>
      <rPr>
        <b/>
        <sz val="14"/>
        <color rgb="FFFF0000"/>
        <rFont val="Arial"/>
        <family val="2"/>
      </rPr>
      <t>2022</t>
    </r>
  </si>
  <si>
    <r>
      <t xml:space="preserve">1 Schulpferd, 10-jährige Nutzungsdauer, mit Reitbeteiligung, Unterricht durch betriebsfremden Reitlehrer (Abrechnung nach erteilten Stunden), </t>
    </r>
    <r>
      <rPr>
        <sz val="14"/>
        <color rgb="FFFF0000"/>
        <rFont val="Arial"/>
        <family val="2"/>
      </rPr>
      <t>2022</t>
    </r>
  </si>
  <si>
    <t>Kalk. BZE je SP (Zelle I 54)</t>
  </si>
  <si>
    <r>
      <t xml:space="preserve">1 Pensionspferd, Großpferd, Vollpension, Box mit Paddock, Koppelservice, mit Reithallenbenutzung, </t>
    </r>
    <r>
      <rPr>
        <b/>
        <sz val="14"/>
        <color rgb="FFFF0000"/>
        <rFont val="Arial"/>
        <family val="2"/>
      </rPr>
      <t>Preise 2021</t>
    </r>
  </si>
  <si>
    <r>
      <t xml:space="preserve">1 Pensionspferd, Großpferd, Vollpension, Box mit Paddock, Koppelservice, mit Reithallenbenutzung, Preise </t>
    </r>
    <r>
      <rPr>
        <b/>
        <sz val="14"/>
        <color rgb="FFFF0000"/>
        <rFont val="Arial"/>
        <family val="2"/>
      </rPr>
      <t>2022</t>
    </r>
  </si>
  <si>
    <t>Eingabe eigener Daten bei 100% Belegung in den gelben Zellen !</t>
  </si>
  <si>
    <t>Festkosten Koppel/J. (Pachtansatz)</t>
  </si>
  <si>
    <t xml:space="preserve">anteilige Gemeinkosten/J. </t>
  </si>
  <si>
    <t>1_PP: Pensionspferd 2021 bzw. 2022</t>
  </si>
  <si>
    <t>Da in der Pensionspferdehaltung die in der Stallmiete enthaltene Mehrwertsteuer an das Finanzamt abzuführen ist, sind für die Berechnung die Nettobeträge maßgeblich. Das Programm ermittelt die Nettomiete automatisch aus den in der Spalte F eingegebenen Bruttobeträgen.</t>
  </si>
  <si>
    <t>Neben der Hauptleistung können in den Zeilen 11 bis 14 Nebenleistungen eines Pensionspferdes eingegeben werden.</t>
  </si>
  <si>
    <t>Variable Kosten fallen im Gegensatz zu festen Kosten nur an, wenn ein Tier eingestallt ist. Rechnet der Betrieb seine Umsatzsteuer mit dem Finanzamt ab (Regelbesteuerung), sind diese Werte netto einzugeben.</t>
  </si>
  <si>
    <t>Die variablen Kosten sind ebenfalls für eine ganzjährige Belegung einzugeben. Das Programm rechnet in Spalte J auf die betriebsindividuelle Belegung um.</t>
  </si>
  <si>
    <t>Schwierig ist auch die Abschätzung der jährlichen Kosten für die benötigten Gebäude. Diese bestehen aus den Abschreibungen (je nach Nutzungsdauer ca. 3 bis 5%), einem Zinsansatz für das durchschnittlich gebundene Kapital (bzw. dem halben Zinssatz für den Investitionsbetrag, ca.1 bis 3%) und den Unterhaltungskosten (ca. 1 bis 2%). Die einzelnen Prozentsätze sind in den Spalten N bis Q einzugeben.</t>
  </si>
  <si>
    <t>Diese Jahreskosten werden mit der einzugebenden Investionssumme je Stallplatz bzw. der anteiligen Investitionssumme für die Reitanlage multipliziert. Sind die Investitionen erst geplant, sind die Neubaukosten einzugeben. Bei vorhandenen Gebäuden ist der damalige, ggf. geschätzte Anschaffungswert maßgeblich.</t>
  </si>
  <si>
    <t>Bei den Maschinenkosten sind nur die Maschinen zu berücksichtigen, die unmittelbar der Pferdehaltung dienen (z.B. Hoflader, Bahnebner, Miststreuer), nicht aber Maschinen für die Flächenbewirtschaftung. Deren Kosten sind in den Futtermittelpreisen enthalten.</t>
  </si>
  <si>
    <t>Das BZE ergibt sich aus der Differenz zwischen den Leistungen und den Gesamtkosten. Es berücksichtigt auch kalkulatorische Kosten, die nicht zu direkten Ausgaben führen, wie z.B. einen Lohnansatz für nicht entlohnte Familien-AK oder einen Zinsansatz für im Betrieb angelegtes Eigenkapital.</t>
  </si>
  <si>
    <t>Die tatsächlich erreichte Verwertung der eingesetzten Arbeitsstunden - ohne die bereits in den variablen Kosten berücksichtigte Arbeit - wird in Zeile 54 ausgewiesen.</t>
  </si>
  <si>
    <r>
      <t xml:space="preserve">In den Zeilen 55 und 56 ermittelt das Programm den monatlichen Netto- bzw. Bruttopensionspreis, bei dem alle Kosten gedeckt werden. 
</t>
    </r>
    <r>
      <rPr>
        <sz val="10"/>
        <rFont val="Arial"/>
        <family val="2"/>
      </rPr>
      <t>(Gibt man zur Kontrolle den Bruttowert in die Zelle F 10 ein, beträgt das kalkulatorische Betriebszweigergebnis ca. Null € und die erreichte Verwertung der Arbeit (Zeile 54) entspricht dem angestrebten Lohnansatz in Zelle F 44).</t>
    </r>
  </si>
  <si>
    <t xml:space="preserve">Die Leistungen des Verfahrens sind die im Jahr erreichten Unterrichtsstunden je Schulpferd. </t>
  </si>
  <si>
    <t>In der Spalte G ist die Dauer einer Unterrichtseinheit anzugeben. Dauert also eine Einzel-Longenstunde 30 Minuten, ist hier der Wert 0,5 einzugeben.</t>
  </si>
  <si>
    <t>Das BZE ergibt sich aus der Differenz zwischen den Leistungen und Gesamtkosten. Es berücksichtigt auch kalkulatorische Kosten, die nicht zu direkten Ausgaben führen, wie z.B. einen Lohnansatz für nicht entlohnte Familien-AK oder einen Zinsansatz für im Betrieb angelegtes Eigenkapital.</t>
  </si>
  <si>
    <t>Vom Verkaufserlös muss der Betrieb 19% Mehrwertsteuer abführen, sofern es sich nicht um einen pauschalierenden Betrieb handelt.</t>
  </si>
  <si>
    <t>4. Vollkostenberechnung Fohlenaufzucht (Reg.blatt 4a bis 4b)</t>
  </si>
  <si>
    <r>
      <rPr>
        <b/>
        <sz val="16"/>
        <rFont val="Arial"/>
        <family val="2"/>
      </rPr>
      <t xml:space="preserve">Kalkulatorisches Betriebszweigergebnis BZE </t>
    </r>
    <r>
      <rPr>
        <sz val="12"/>
        <rFont val="Arial"/>
        <family val="2"/>
      </rPr>
      <t>(Summe Leistungen abzgl. Gesamtkosten)</t>
    </r>
  </si>
  <si>
    <r>
      <t xml:space="preserve">Kalkulatorisches Betriebszweigergebnis BZE </t>
    </r>
    <r>
      <rPr>
        <sz val="12"/>
        <rFont val="Arial"/>
        <family val="2"/>
      </rPr>
      <t>(Summe Leistungen abzgl. Gesamtkosten)</t>
    </r>
  </si>
  <si>
    <t>Wochenplan Reitschulbetrieb</t>
  </si>
  <si>
    <t>Einsatz-stunden je SP u. Jahr (Zeitstunden)
(Sp- Q X Sp. G)</t>
  </si>
  <si>
    <t>Summe Nettoerlöse Unterricht  insg.:</t>
  </si>
  <si>
    <t xml:space="preserve">Zum Vergleich: bereinigte Nettoerlöse Unterricht lt. Buchführung: </t>
  </si>
  <si>
    <t>Kleinunter-nehmer</t>
  </si>
  <si>
    <t>Notwendige Zahl an Unterrichtswochen/Jahr zur vollen Kostendeckung</t>
  </si>
  <si>
    <r>
      <t xml:space="preserve">Kalkulatorisches Betriebszweigergebnis BZE </t>
    </r>
    <r>
      <rPr>
        <b/>
        <sz val="12"/>
        <rFont val="Arial"/>
        <family val="2"/>
      </rPr>
      <t>(Summe Leistungen abzgl. Gesamtkosten)</t>
    </r>
  </si>
  <si>
    <t>z.B. Auktionsgebühren</t>
  </si>
  <si>
    <t>Für alle Verfahren sind beispielhaft Daten eingegeben, die den Gegebenheiten im eigenen Betrieb angepasst werden können. Dafür müssen nur die vorgegebenen Werte in den gelben Feldern überschrieben werden.</t>
  </si>
  <si>
    <t>3a_ZStmFoReg: Zuchtstute mit Fohlen, Regelbesteuerung der Mwst.</t>
  </si>
  <si>
    <t>3b_ZStmFoPau: Zuchtstute mit Fohlen, Pauschalierung der Mwst.</t>
  </si>
  <si>
    <t>4a_FoAufz,Reg.: Fohlenaufzucht 6 bis 40 Monate, Regelbesteuerung der Mwst.</t>
  </si>
  <si>
    <t>4b_FoAufzPau.: Fohlenaufzucht 6 bis 40 Monate, Pauschalierung der Mwst.</t>
  </si>
  <si>
    <t>Die für den Unterricht benötigten Stunden (D 39) werden automatisch von Zelle T 13 übernommen.</t>
  </si>
  <si>
    <t>In der Zeile 5 ist das kalkulierte Verfahren genau zu beschreiben. So sind für den Betriebszweig Pensionspferdehaltung mehrere Produktionsverfahren denkbar (z.B. Großpferd - Kleinpferd; mit unterschiedlichem Dienstleistungangebot usw.)</t>
  </si>
  <si>
    <r>
      <t>Kosten der Arbeit sind nur dann als variable Kosten (Zeile 38) anzusehen, wenn sie sich schon bei einer geringfügigen Veränderung der gehaltenen Anzahl an Pferden verändern. Deshalb wird die Arbeit der Familienarbeitskräfte und festangestellten Lohnarbeitskräfte (auch Minijobber) hier</t>
    </r>
    <r>
      <rPr>
        <u/>
        <sz val="11"/>
        <rFont val="Arial"/>
        <family val="2"/>
      </rPr>
      <t xml:space="preserve"> </t>
    </r>
    <r>
      <rPr>
        <b/>
        <u/>
        <sz val="11"/>
        <rFont val="Arial"/>
        <family val="2"/>
      </rPr>
      <t>nicht</t>
    </r>
    <r>
      <rPr>
        <sz val="11"/>
        <rFont val="Arial"/>
        <family val="2"/>
      </rPr>
      <t xml:space="preserve"> berücksichtigt. Deren Arbeitsleistung wird vielmehr im unteren Teil des Blattes (Zeile 44) erfasst.</t>
    </r>
  </si>
  <si>
    <t>Schwierig ist die Abschätzung der jährlichen Kosten für die benötigten Gebäude. Diese bestehen aus den Abschreibungen (ca. 3 bis 4%), einem Zinsansatz für des durchschnittlich gebundene Kapital und den Unterhaltungskosten. In der Summe ist - bei der derzeitigen Zinslage - mit ca. 7 bis 8% Jahreskosten zu kalkulieren.</t>
  </si>
  <si>
    <r>
      <t>Einh./Jahr u. Pferd</t>
    </r>
    <r>
      <rPr>
        <sz val="12"/>
        <rFont val="Arial"/>
        <family val="2"/>
      </rPr>
      <t xml:space="preserve">
</t>
    </r>
    <r>
      <rPr>
        <sz val="12"/>
        <color indexed="10"/>
        <rFont val="Arial"/>
        <family val="2"/>
      </rPr>
      <t>(Eingaben zur Berechnung in den Spalten M und N)</t>
    </r>
  </si>
  <si>
    <t xml:space="preserve">je Unterrichtseinheit </t>
  </si>
  <si>
    <t xml:space="preserve">je Schulpferd </t>
  </si>
  <si>
    <t>Wenn Sie die in Zelle I 59 ermittelte Wochenzahl in die Zelle N 6 eingeben, dann wird das kalkulatorische Betriebszweigergebnis je SP (Zelle I 54) nahe Null € liegen (d.h. alle Kosten gerade gedeckt).</t>
  </si>
  <si>
    <t>Ist das kalkulatorische BZE größer als Null, werden alle Kosten gedeckt. Langfristig sollte dies das Ziel eines jeden Unternehmens sein. Ist das BZE negativ, wird der angestrebte Lohnansatz (Zelle F 46) nicht erreicht. In Zeile 55 wird ausgewiesen, um wieviel der angesetzte Preis je Unterrichtseinheit (F 8 bis F 12) vom kostendeckenden Preis abweicht.</t>
  </si>
  <si>
    <r>
      <t>Vollkostenrechnung Pferde</t>
    </r>
    <r>
      <rPr>
        <sz val="14"/>
        <rFont val="Arial"/>
        <family val="2"/>
      </rPr>
      <t xml:space="preserve"> </t>
    </r>
    <r>
      <rPr>
        <sz val="12"/>
        <rFont val="Arial"/>
        <family val="2"/>
      </rPr>
      <t>(Version 09/2022)</t>
    </r>
  </si>
  <si>
    <t>Unterricht 1</t>
  </si>
  <si>
    <t>Unterricht 2</t>
  </si>
  <si>
    <t>Unterricht 3</t>
  </si>
  <si>
    <t>Unterricht 4</t>
  </si>
  <si>
    <t>Unterricht 5</t>
  </si>
  <si>
    <t>Notwendige durchschn. Preisanpassung je Unterrichtseinheit zur vollen Kostendeckung</t>
  </si>
  <si>
    <t>In Zeile 58 wird die notwendige durchschnittliche Preisanpassung je Unterrichtseinheit ausgewiesen, die eine volle Kostendeckung bei den getroffenen Annahmen gewährleistet.</t>
  </si>
  <si>
    <t>2.6 Notwendige Anpassungen zur vollen Kostendeckung</t>
  </si>
  <si>
    <t>In Zeile 59 wird die notwendige Zahl an Unterrichtswochen bei dem unterstellten Wochenplan ermittelt, die eine Kostendeckung ermöglicht.</t>
  </si>
  <si>
    <t>Über die Eingabe des wöchentlichen Unterrichts, der Unterrichtswochen/Jahr und der Anzahl Schulpferde ermitteln Sie hier die durchschnittlichen Unterrichtseinheiten je Schulpferd und Jahr (Spalte Q), die dann in die Spalte D automatisch übertragen werden. Ferner wird der Zeitbedarf für den gesamten Unterricht ermittelt.</t>
  </si>
  <si>
    <t>Rechengang zur Berechnung der notwendigen Anzahl an Unterrichtswochen (vgl. Zeile 59):</t>
  </si>
  <si>
    <t>siehe K 59</t>
  </si>
  <si>
    <t>und errrechnet sich aus der Nutzungsdauer je Stute (Zelle F 6).</t>
  </si>
  <si>
    <t xml:space="preserve">Der Umfang der Bestandsergänzung (D 17) muss dem Umfang </t>
  </si>
  <si>
    <t>der Alttierverkäufe (oben unter Nebenleistungen aufzuführen) entsprechen (D 14)</t>
  </si>
  <si>
    <t>Bei negativem Vor-zeichen wäre eine Preissenkung möglich.</t>
  </si>
  <si>
    <t>€ je Einh. u. Jahr</t>
  </si>
  <si>
    <t>betragen.</t>
  </si>
  <si>
    <t xml:space="preserve">Um zumindest die variablen Kosten zu decken (DB = Null €), müsste der Bruttoerlös je Fohlen mind. </t>
  </si>
  <si>
    <t>für die Berechung maßgeblicher Wert in € je Einheit (netto)</t>
  </si>
  <si>
    <t xml:space="preserve">Wert in € je Einheit netto </t>
  </si>
  <si>
    <t>Der Wert in I 44 entspricht dem notwendigen Jungpferdepreis brutto, um zumindest die variablen Kosten zu decken.</t>
  </si>
  <si>
    <r>
      <t xml:space="preserve">Jungpferdeaufzucht eig. Pferd, 7.- 40. Lebensmonat (=34 Mon.),  Verkauf angeritten ab Hof, Regelbesteuerung, </t>
    </r>
    <r>
      <rPr>
        <b/>
        <sz val="14"/>
        <color rgb="FFFF0000"/>
        <rFont val="Arial"/>
        <family val="2"/>
      </rPr>
      <t>2022</t>
    </r>
  </si>
  <si>
    <t>Der notwendige Jungpferdepreis brutto zur Deckung der variablen Kosten beträgt</t>
  </si>
  <si>
    <t>Aufgrund des eingegebenen Wochenplans werden die Teilnehmer (=Reitschüler) je Woche, die Teilnehmereinheiten je Schulpferd und Jahr, die Nettoerlöse insg. sowie der Zeitbedarf für den Unterricht ermittelt (M 13 bis U 13).</t>
  </si>
  <si>
    <t xml:space="preserve">Wichtige Kennwerte sind auch die Anzahl der Unterrichtseinheiten (D 16) und Einsatzstunden (F 16) je Schulpferd und Jahr. </t>
  </si>
  <si>
    <t>Die jährlichen Kosten für das Schulpferd hängen ab von seiner Nutzungsdauer (F 6) und dem Anschaffungspreis. Aus der Nutzungsdauer errechnet das Programm die notwendige Bestandsergänzung/Jahr (D 18).</t>
  </si>
  <si>
    <t>Die Eingaben für Futter, Einstreu, Wasser und Energie entsprechen dem Schema bei den Pensionspferden.</t>
  </si>
  <si>
    <t>Im unteren Teil sind die restlichen vom Pferdebetrieb zu tragenden variablen Kosten einzugeben, u.a. die Kosten für Tierarzt und Schmied.</t>
  </si>
  <si>
    <r>
      <t xml:space="preserve">Besondere Beachtung verdienen die </t>
    </r>
    <r>
      <rPr>
        <b/>
        <sz val="11"/>
        <rFont val="Arial"/>
        <family val="2"/>
      </rPr>
      <t>Kosten für die Erteilung des Reitunterrichts</t>
    </r>
    <r>
      <rPr>
        <sz val="11"/>
        <rFont val="Arial"/>
        <family val="2"/>
      </rPr>
      <t xml:space="preserve">. Wird dieser von familieneigenen Arbeitskräften oder einem vom Betrieb fest angestellten Reitlehrer erteilt, handelt es sich um Festkosten - und </t>
    </r>
    <r>
      <rPr>
        <b/>
        <sz val="11"/>
        <rFont val="Arial"/>
        <family val="2"/>
      </rPr>
      <t>nicht</t>
    </r>
    <r>
      <rPr>
        <sz val="11"/>
        <rFont val="Arial"/>
        <family val="2"/>
      </rPr>
      <t xml:space="preserve"> um variable Kosten. Es darf dann </t>
    </r>
    <r>
      <rPr>
        <b/>
        <sz val="11"/>
        <rFont val="Arial"/>
        <family val="2"/>
      </rPr>
      <t>kein</t>
    </r>
    <r>
      <rPr>
        <sz val="11"/>
        <rFont val="Arial"/>
        <family val="2"/>
      </rPr>
      <t xml:space="preserve"> Wert in Zelle E 39 für die Kosten einer Unterrichtsstunde eingegeben werden. </t>
    </r>
  </si>
  <si>
    <t xml:space="preserve">Der DB ist der Beitrag eines Produktionsverfahrens zur Deckung der festen Kosten des Betriebes (einschließlich der Löhne für fest angestellte Fremd-AK) sowie der von den nicht entlohnten Familien-Arbeitskräften erbrachten Arbeit. </t>
  </si>
  <si>
    <t>Die tatsächlich erreichte Verwertung der eingesetzten Arbeit - ohne die bereits in den variablen Kosten berücksichtigte Arbeit - wird in Zeile 57 ausgewiesen.</t>
  </si>
  <si>
    <t>Die Eingabe der Kosten entspricht den Verfahren Pensionspferd bzw. Schulpferd.</t>
  </si>
  <si>
    <t>Die meisten Pferdezüchter wissen, dass dieser Betriebszweig in der Regel keine volle Kostendeckung ermöglicht. Sie sind schon zufrieden, wenn zumindest die variablen Kosten gedeckt sind. Deshalb wird in Zeile 44 der entsprechende Bruttoerlös je Fohlen ausgewiesen, der die variablen Kosten deckt.</t>
  </si>
  <si>
    <t>Die Berechnungen können für einen regelbesteuerten und einen pauschalierenden Betrieb durchgeführt werden. Der Regelbesteuerer muss vom Erlös für das Fohlen die Mehrwertsteuer abführen, hat dafür aber bei den Kosten nur die Nettowerte ohne Mehrwertsteuer zu tragen.</t>
  </si>
  <si>
    <t>Die Berechnungen erfolgen sowohl für einen regelbesteuerten wie auch für einen pauschalierenden Betrieb.</t>
  </si>
  <si>
    <t xml:space="preserve">Die Aufzucht eines Fohlens beginnt mit dem Absetzen und endet in der Regel mit dem Verkauf eines angerittenen, mindestens drei Jahre alten Jungpferdes. Daher sind die im gesamten Aufzuchtabschnitt anfallenden Kosten zu berücksichtigen. </t>
  </si>
  <si>
    <t>Wie beim Verfahren Zuchtstute wird auch hier der notwendige Erlös je Jungpferd ermittelt, der zumindest die variablen Kosten deckt (Zeile 45). Zur Berechnung des Erlöses, der die Gesamtkosten (Zeile 58) deckt, sind zusätzlich die Arbeits- und Festkosten zu berücksichtigen.</t>
  </si>
  <si>
    <t>Auf diesem Registerblatt sind die verschiedenen Mehrwertsteuersätze zusammengestellt, die für Pferdebetriebe von Bedeutung sein können (Stand September 2022). Dabei wird unterschieden, ob es sich um einen regelbesteuerten Betrieb handelt, der seine Umsatzsteuer mit dem Finanzamt abrechnet, oder einen pauschalierenden Betrieb.</t>
  </si>
  <si>
    <t>Der vergünstigte Steuersatz ist dann möglich, wenn der Eigentümer des Pensionspferdes Land- oder Forstwirt ist.</t>
  </si>
  <si>
    <t>Die Version 09/2022 berücksichtigt in den Beispielsberechnungen die aufgrund der Energiekrise gestiegenen Kosten.</t>
  </si>
  <si>
    <t>Die Hauptleistung des Verfahrens sind die monatlichen Stallmieten. Die Eingaben sind für eine ganzjährige Belegung vorzunehmen (12 Monatsmieten). Die Berechnung erfolgt dann sowohl für eine 100 - prozentige Belegung (Spalte I) als auch für eine in der Zelle J 6 frei wählbare Belegung.</t>
  </si>
  <si>
    <t>Die Arbeit wird in der Regel von Familien-AK oder fest angestellten Lohn-AK erbracht, ihre Kosten haben also Festkostencharakter. Der Lohnansatz je Stunde (AKh) sollte auch für Familien-AK mindestens so hoch sein wie der Lohn für Fremd-AK und den Arbeitgeberanteil zur Sozialversicherung beinhalten (20 % bei normalen Arbeitsverhältnissen, 30% bei Minijobs). Ab 1. Oktober 2022 wird der gesetzliche Mindestlohn 12 € betragen.</t>
  </si>
  <si>
    <t xml:space="preserve">Ihre Berechnung erfolgt in den Spalten L bis Q  anhand eines Wochenplans an Unterrichtsstunden. Die Ergebnisse in Spalte Q werden dann automatisch in die Spalte D übertragen. </t>
  </si>
  <si>
    <t>In der Zeile 15 wird ein eventueller Erlös des nach der Nutzung verkauften Tieres erfasst. Dazu greift das Programm auf die in Zeile 6 eingegebene Nutzungsdauer zurück.</t>
  </si>
  <si>
    <t>Bei den Leistungen ist hier die im mehrjährigen Durchschnitt erreichte Abfohlquote zu berücksichtigen (D 10).</t>
  </si>
  <si>
    <t>In Zeile 6 ist die durchschnittliche Nutzungsdauer je Schulpferd einzugeben.</t>
  </si>
  <si>
    <t>Dr. Volker Segger
Ehemaliger Mitarbeiter der Landesanstalt für Landwirtschaft, Ernährung und Ländlichen Raum (LEL)
73525 Schwäbisch Gmünd (Tel.:07171/917-100)                                   Stand: 10.09.2022</t>
  </si>
  <si>
    <t>In den Zeilen 8 bis 12 können fünf verschiedene Unterrichtsformen eingegeben werden. Die Zeilen 13 bis 14 sind für Nebenleistungen eines Schulpferdes vorgesehen.</t>
  </si>
  <si>
    <t xml:space="preserve">Wie bei anderen eigenen Pferden auch, ist als zusätzliche Kostenposition ein Zinsansatz für das gebundene Kapital anzusetzen. Dessen Höhe ergibt sich als Durchschnittswert vom Anschaffungspreis des Tieres (Zelle E 18) und Verkaufserlös am Ende der Nutzungsdauer 
(E 15).  </t>
  </si>
  <si>
    <t>In Zeile 45 ist in Zelle C 45 zunächst der für die normalen Stallarbeiten anfallende Arbeitsaufwand eines Schulpferds einzugeben. In G 45 ist ein Zuschlag für die Betreuung der Reitschüler vor und nach den Reitstunden einzugeben, sofern diese Betreuung von ständigen AK des Betriebes erfolgt. In D 46 ermittelt das Programm den gesamten Arbeitsaufwand der ständigen Arbeitskräfte je Schulpferd und Jahr. Wenn in E 39 ein Wert für die Kosten des Reitlehrers eingegeben wurde, ist der Arbeitsaufwand um den Unterricht niedriger.</t>
  </si>
  <si>
    <t xml:space="preserve">Da die Fütterung sich in den Winter- und Sommermonaten unterscheidet, werden im linken oberen Teil des Arbeitsblattes (Zeilen 4 bis 9) zunächst die Winter- und Sommermonate ermittelt. Das Programm überträgt die entsprechenden Tage dann in die Zellen F 19 bis F 28.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</si>
</sst>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0\ &quot;€&quot;;[Red]\-#,##0\ &quot;€&quot;"/>
    <numFmt numFmtId="8" formatCode="#,##0.00\ &quot;€&quot;;[Red]\-#,##0.00\ &quot;€&quot;"/>
    <numFmt numFmtId="44" formatCode="_-* #,##0.00\ &quot;€&quot;_-;\-* #,##0.00\ &quot;€&quot;_-;_-* &quot;-&quot;??\ &quot;€&quot;_-;_-@_-"/>
    <numFmt numFmtId="164" formatCode="#,##0_ ;[Red]\-#,##0\ "/>
    <numFmt numFmtId="165" formatCode="#,##0.0_ ;[Red]\-#,##0.0\ "/>
    <numFmt numFmtId="166" formatCode="#,##0.00_ ;[Red]\-#,##0.00\ "/>
    <numFmt numFmtId="167" formatCode="#,##0.0"/>
    <numFmt numFmtId="168" formatCode="#,##0.00\ &quot;€&quot;"/>
    <numFmt numFmtId="169" formatCode="#,##0.00&quot; €/ m3&quot;"/>
    <numFmt numFmtId="170" formatCode="0.000"/>
    <numFmt numFmtId="171" formatCode="0.0"/>
    <numFmt numFmtId="172" formatCode="#,##0\ &quot;€&quot;"/>
    <numFmt numFmtId="173" formatCode="0.0%"/>
    <numFmt numFmtId="174" formatCode="#,##0&quot; m3&quot;"/>
    <numFmt numFmtId="175" formatCode="#,##0\ \ \ \ \ \ \ \ \ \ \ "/>
    <numFmt numFmtId="176" formatCode="#,##0.00\ \ \ \ \ \ \ \ \ \ \ "/>
    <numFmt numFmtId="177" formatCode="0.0_ ;[Red]\-0.0\ "/>
    <numFmt numFmtId="178" formatCode="#,##0.0&quot; Schüler/Std.&quot;"/>
    <numFmt numFmtId="179" formatCode="0.0&quot; dscn. SP/Std.&quot;"/>
    <numFmt numFmtId="180" formatCode="#,##0.0&quot; Pferde je Unterr.std.&quot;"/>
    <numFmt numFmtId="181" formatCode="_-* #,##0\ &quot;€&quot;_-;\-* #,##0\ &quot;€&quot;_-;_-* &quot;-&quot;??\ &quot;€&quot;_-;_-@_-"/>
    <numFmt numFmtId="182" formatCode="#,##0.0_ ;[Red]\-#,##0.0\ &quot; Wochen&quot;"/>
  </numFmts>
  <fonts count="86" x14ac:knownFonts="1">
    <font>
      <sz val="10"/>
      <name val="Arial"/>
    </font>
    <font>
      <sz val="10"/>
      <name val="Arial"/>
      <family val="2"/>
    </font>
    <font>
      <b/>
      <sz val="14"/>
      <name val="Arial"/>
      <family val="2"/>
    </font>
    <font>
      <sz val="12"/>
      <name val="Arial"/>
      <family val="2"/>
    </font>
    <font>
      <b/>
      <sz val="16"/>
      <name val="Arial"/>
      <family val="2"/>
    </font>
    <font>
      <sz val="16"/>
      <name val="Arial"/>
      <family val="2"/>
    </font>
    <font>
      <sz val="14"/>
      <name val="Arial"/>
      <family val="2"/>
    </font>
    <font>
      <b/>
      <sz val="12"/>
      <name val="Arial"/>
      <family val="2"/>
    </font>
    <font>
      <sz val="14"/>
      <name val="Arial"/>
      <family val="2"/>
    </font>
    <font>
      <b/>
      <i/>
      <sz val="14"/>
      <name val="Arial"/>
      <family val="2"/>
    </font>
    <font>
      <b/>
      <i/>
      <sz val="14"/>
      <name val="Arial Narrow"/>
      <family val="2"/>
    </font>
    <font>
      <b/>
      <i/>
      <sz val="12"/>
      <name val="Arial"/>
      <family val="2"/>
    </font>
    <font>
      <b/>
      <i/>
      <sz val="16"/>
      <name val="Arial"/>
      <family val="2"/>
    </font>
    <font>
      <b/>
      <sz val="18"/>
      <name val="Arial"/>
      <family val="2"/>
    </font>
    <font>
      <sz val="11"/>
      <color indexed="81"/>
      <name val="Tahoma"/>
      <family val="2"/>
    </font>
    <font>
      <b/>
      <sz val="11"/>
      <color indexed="81"/>
      <name val="Tahoma"/>
      <family val="2"/>
    </font>
    <font>
      <sz val="12"/>
      <color indexed="10"/>
      <name val="Arial"/>
      <family val="2"/>
    </font>
    <font>
      <sz val="14"/>
      <color indexed="10"/>
      <name val="Arial"/>
      <family val="2"/>
    </font>
    <font>
      <sz val="10"/>
      <name val="Arial"/>
      <family val="2"/>
    </font>
    <font>
      <sz val="18"/>
      <name val="Arial"/>
      <family val="2"/>
    </font>
    <font>
      <b/>
      <sz val="20"/>
      <name val="Arial"/>
      <family val="2"/>
    </font>
    <font>
      <b/>
      <sz val="24"/>
      <name val="Arial"/>
      <family val="2"/>
    </font>
    <font>
      <b/>
      <sz val="10"/>
      <name val="Arial"/>
      <family val="2"/>
    </font>
    <font>
      <sz val="9"/>
      <name val="Arial"/>
      <family val="2"/>
    </font>
    <font>
      <b/>
      <sz val="11"/>
      <name val="Arial"/>
      <family val="2"/>
    </font>
    <font>
      <sz val="11"/>
      <name val="Arial"/>
      <family val="2"/>
    </font>
    <font>
      <vertAlign val="superscript"/>
      <sz val="11"/>
      <name val="Arial"/>
      <family val="2"/>
    </font>
    <font>
      <sz val="10"/>
      <color indexed="81"/>
      <name val="Tahoma"/>
      <family val="2"/>
    </font>
    <font>
      <i/>
      <sz val="11"/>
      <name val="Arial"/>
      <family val="2"/>
    </font>
    <font>
      <sz val="20"/>
      <name val="Arial"/>
      <family val="2"/>
    </font>
    <font>
      <sz val="12"/>
      <color indexed="81"/>
      <name val="Tahoma"/>
      <family val="2"/>
    </font>
    <font>
      <sz val="14"/>
      <color indexed="22"/>
      <name val="Arial"/>
      <family val="2"/>
    </font>
    <font>
      <b/>
      <sz val="14"/>
      <color indexed="10"/>
      <name val="Arial"/>
      <family val="2"/>
    </font>
    <font>
      <b/>
      <sz val="14"/>
      <color indexed="17"/>
      <name val="Arial"/>
      <family val="2"/>
    </font>
    <font>
      <b/>
      <sz val="14"/>
      <color indexed="10"/>
      <name val="Arial"/>
      <family val="2"/>
    </font>
    <font>
      <sz val="9"/>
      <color indexed="81"/>
      <name val="Tahoma"/>
      <family val="2"/>
    </font>
    <font>
      <sz val="16"/>
      <color indexed="10"/>
      <name val="Arial"/>
      <family val="2"/>
    </font>
    <font>
      <b/>
      <sz val="14"/>
      <color rgb="FFFF0000"/>
      <name val="Arial"/>
      <family val="2"/>
    </font>
    <font>
      <sz val="12"/>
      <color rgb="FFFF0000"/>
      <name val="Arial"/>
      <family val="2"/>
    </font>
    <font>
      <b/>
      <sz val="12"/>
      <color rgb="FF00B050"/>
      <name val="Arial"/>
      <family val="2"/>
    </font>
    <font>
      <sz val="12"/>
      <color rgb="FF00B050"/>
      <name val="Arial"/>
      <family val="2"/>
    </font>
    <font>
      <b/>
      <sz val="14"/>
      <color rgb="FFC00000"/>
      <name val="Arial"/>
      <family val="2"/>
    </font>
    <font>
      <b/>
      <i/>
      <sz val="12"/>
      <color theme="3" tint="-0.249977111117893"/>
      <name val="Arial"/>
      <family val="2"/>
    </font>
    <font>
      <b/>
      <i/>
      <sz val="13"/>
      <color theme="1"/>
      <name val="Arial"/>
      <family val="2"/>
    </font>
    <font>
      <b/>
      <i/>
      <sz val="16"/>
      <color theme="1"/>
      <name val="Arial"/>
      <family val="2"/>
    </font>
    <font>
      <b/>
      <i/>
      <sz val="12"/>
      <color theme="1"/>
      <name val="Arial"/>
      <family val="2"/>
    </font>
    <font>
      <sz val="14"/>
      <color rgb="FFFF0000"/>
      <name val="Arial"/>
      <family val="2"/>
    </font>
    <font>
      <b/>
      <i/>
      <sz val="14"/>
      <color rgb="FFFF0000"/>
      <name val="Arial"/>
      <family val="2"/>
    </font>
    <font>
      <sz val="12"/>
      <color theme="4" tint="-0.249977111117893"/>
      <name val="Arial"/>
      <family val="2"/>
    </font>
    <font>
      <sz val="14"/>
      <color theme="4" tint="-0.249977111117893"/>
      <name val="Arial"/>
      <family val="2"/>
    </font>
    <font>
      <b/>
      <sz val="16"/>
      <color rgb="FFFF0000"/>
      <name val="Arial"/>
      <family val="2"/>
    </font>
    <font>
      <sz val="14"/>
      <color rgb="FF009900"/>
      <name val="Arial"/>
      <family val="2"/>
    </font>
    <font>
      <sz val="14"/>
      <color theme="1"/>
      <name val="Arial"/>
      <family val="2"/>
    </font>
    <font>
      <b/>
      <sz val="12"/>
      <color rgb="FF0070C0"/>
      <name val="Arial"/>
      <family val="2"/>
    </font>
    <font>
      <sz val="14"/>
      <color rgb="FF0070C0"/>
      <name val="Arial"/>
      <family val="2"/>
    </font>
    <font>
      <b/>
      <sz val="14"/>
      <color rgb="FF0070C0"/>
      <name val="Arial"/>
      <family val="2"/>
    </font>
    <font>
      <sz val="12"/>
      <color theme="9" tint="-0.249977111117893"/>
      <name val="Arial"/>
      <family val="2"/>
    </font>
    <font>
      <sz val="14"/>
      <color theme="9" tint="-0.249977111117893"/>
      <name val="Arial"/>
      <family val="2"/>
    </font>
    <font>
      <b/>
      <sz val="14"/>
      <color theme="9" tint="-0.249977111117893"/>
      <name val="Arial"/>
      <family val="2"/>
    </font>
    <font>
      <i/>
      <sz val="10"/>
      <name val="Arial"/>
      <family val="2"/>
    </font>
    <font>
      <i/>
      <sz val="10"/>
      <color theme="9" tint="-0.249977111117893"/>
      <name val="Arial"/>
      <family val="2"/>
    </font>
    <font>
      <vertAlign val="superscript"/>
      <sz val="11"/>
      <color theme="9" tint="-0.249977111117893"/>
      <name val="Arial"/>
      <family val="2"/>
    </font>
    <font>
      <b/>
      <i/>
      <sz val="10"/>
      <name val="Arial"/>
      <family val="2"/>
    </font>
    <font>
      <i/>
      <sz val="9"/>
      <name val="Arial"/>
      <family val="2"/>
    </font>
    <font>
      <b/>
      <i/>
      <sz val="10"/>
      <color rgb="FFFF0000"/>
      <name val="Arial"/>
      <family val="2"/>
    </font>
    <font>
      <sz val="10"/>
      <color theme="9" tint="-0.499984740745262"/>
      <name val="Arial"/>
      <family val="2"/>
    </font>
    <font>
      <b/>
      <vertAlign val="superscript"/>
      <sz val="12"/>
      <name val="Arial"/>
      <family val="2"/>
    </font>
    <font>
      <sz val="14"/>
      <color theme="6" tint="-0.499984740745262"/>
      <name val="Arial"/>
      <family val="2"/>
    </font>
    <font>
      <sz val="12"/>
      <color theme="6" tint="-0.499984740745262"/>
      <name val="Arial"/>
      <family val="2"/>
    </font>
    <font>
      <b/>
      <sz val="12"/>
      <color theme="6" tint="-0.499984740745262"/>
      <name val="Arial"/>
      <family val="2"/>
    </font>
    <font>
      <b/>
      <sz val="14"/>
      <color theme="6" tint="-0.499984740745262"/>
      <name val="Arial"/>
      <family val="2"/>
    </font>
    <font>
      <i/>
      <sz val="14"/>
      <name val="Arial"/>
      <family val="2"/>
    </font>
    <font>
      <i/>
      <sz val="14"/>
      <color theme="6" tint="-0.499984740745262"/>
      <name val="Arial"/>
      <family val="2"/>
    </font>
    <font>
      <b/>
      <sz val="12"/>
      <color indexed="10"/>
      <name val="Arial"/>
      <family val="2"/>
    </font>
    <font>
      <sz val="22"/>
      <name val="Arial"/>
      <family val="2"/>
    </font>
    <font>
      <i/>
      <sz val="13"/>
      <name val="Arial"/>
      <family val="2"/>
    </font>
    <font>
      <sz val="13"/>
      <name val="Arial"/>
      <family val="2"/>
    </font>
    <font>
      <sz val="11"/>
      <color rgb="FFFF0000"/>
      <name val="Arial"/>
      <family val="2"/>
    </font>
    <font>
      <u/>
      <sz val="11"/>
      <name val="Arial"/>
      <family val="2"/>
    </font>
    <font>
      <b/>
      <u/>
      <sz val="11"/>
      <name val="Arial"/>
      <family val="2"/>
    </font>
    <font>
      <sz val="11.5"/>
      <name val="Arial"/>
      <family val="2"/>
    </font>
    <font>
      <b/>
      <i/>
      <sz val="15"/>
      <name val="Arial"/>
      <family val="2"/>
    </font>
    <font>
      <b/>
      <i/>
      <sz val="15"/>
      <name val="Arial Narrow"/>
      <family val="2"/>
    </font>
    <font>
      <sz val="15"/>
      <name val="Arial"/>
      <family val="2"/>
    </font>
    <font>
      <b/>
      <sz val="12"/>
      <color rgb="FF7030A0"/>
      <name val="Arial"/>
      <family val="2"/>
    </font>
    <font>
      <b/>
      <sz val="11"/>
      <color rgb="FFFF0000"/>
      <name val="Arial"/>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rgb="FFFFFF99"/>
        <bgColor indexed="64"/>
      </patternFill>
    </fill>
    <fill>
      <patternFill patternType="solid">
        <fgColor theme="5"/>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66"/>
        <bgColor indexed="64"/>
      </patternFill>
    </fill>
    <fill>
      <patternFill patternType="solid">
        <fgColor theme="9" tint="0.59999389629810485"/>
        <bgColor indexed="64"/>
      </patternFill>
    </fill>
  </fills>
  <borders count="157">
    <border>
      <left/>
      <right/>
      <top/>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diagonal/>
    </border>
    <border>
      <left/>
      <right style="medium">
        <color indexed="64"/>
      </right>
      <top style="dashed">
        <color indexed="64"/>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bottom style="dashed">
        <color indexed="64"/>
      </bottom>
      <diagonal/>
    </border>
    <border>
      <left/>
      <right/>
      <top/>
      <bottom style="dashed">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diagonal/>
    </border>
    <border>
      <left style="thin">
        <color indexed="64"/>
      </left>
      <right style="thin">
        <color indexed="64"/>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bottom style="thin">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double">
        <color indexed="64"/>
      </top>
      <bottom style="dotted">
        <color indexed="64"/>
      </bottom>
      <diagonal/>
    </border>
    <border>
      <left/>
      <right style="medium">
        <color indexed="64"/>
      </right>
      <top style="double">
        <color indexed="64"/>
      </top>
      <bottom style="dotted">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tted">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bottom/>
      <diagonal/>
    </border>
    <border>
      <left style="thin">
        <color indexed="64"/>
      </left>
      <right style="thin">
        <color indexed="64"/>
      </right>
      <top style="dashed">
        <color indexed="64"/>
      </top>
      <bottom style="thin">
        <color indexed="64"/>
      </bottom>
      <diagonal/>
    </border>
    <border>
      <left style="medium">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dotted">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tted">
        <color indexed="64"/>
      </top>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medium">
        <color indexed="64"/>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double">
        <color indexed="64"/>
      </bottom>
      <diagonal/>
    </border>
    <border>
      <left style="medium">
        <color indexed="64"/>
      </left>
      <right/>
      <top style="medium">
        <color indexed="64"/>
      </top>
      <bottom style="dotted">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8">
    <xf numFmtId="0" fontId="0" fillId="0" borderId="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4" fontId="1" fillId="0" borderId="0" applyFont="0" applyFill="0" applyBorder="0" applyAlignment="0" applyProtection="0"/>
  </cellStyleXfs>
  <cellXfs count="1070">
    <xf numFmtId="0" fontId="0" fillId="0" borderId="0" xfId="0"/>
    <xf numFmtId="0" fontId="8" fillId="0" borderId="0" xfId="0" applyFont="1"/>
    <xf numFmtId="0" fontId="6" fillId="0" borderId="0" xfId="0" applyFont="1"/>
    <xf numFmtId="0" fontId="6" fillId="0" borderId="0" xfId="0" applyFont="1" applyBorder="1"/>
    <xf numFmtId="0" fontId="8" fillId="0" borderId="0" xfId="0" applyFont="1" applyBorder="1"/>
    <xf numFmtId="3" fontId="6" fillId="0" borderId="1" xfId="0" applyNumberFormat="1" applyFont="1" applyBorder="1"/>
    <xf numFmtId="3" fontId="6" fillId="0" borderId="2" xfId="0" applyNumberFormat="1" applyFont="1" applyBorder="1"/>
    <xf numFmtId="3" fontId="6" fillId="0" borderId="3" xfId="0" applyNumberFormat="1" applyFont="1" applyBorder="1"/>
    <xf numFmtId="164" fontId="8" fillId="0" borderId="0" xfId="0" applyNumberFormat="1" applyFont="1"/>
    <xf numFmtId="164" fontId="8" fillId="0" borderId="4" xfId="0" applyNumberFormat="1" applyFont="1" applyBorder="1"/>
    <xf numFmtId="164" fontId="8" fillId="0" borderId="5" xfId="0" applyNumberFormat="1" applyFont="1" applyBorder="1"/>
    <xf numFmtId="0" fontId="3" fillId="0" borderId="0" xfId="0" applyFont="1"/>
    <xf numFmtId="0" fontId="3" fillId="0" borderId="0" xfId="0" applyFont="1" applyBorder="1"/>
    <xf numFmtId="0" fontId="2" fillId="0" borderId="0" xfId="0" applyFont="1"/>
    <xf numFmtId="3" fontId="6" fillId="0" borderId="6" xfId="0" applyNumberFormat="1" applyFont="1" applyBorder="1"/>
    <xf numFmtId="164" fontId="8" fillId="2" borderId="4" xfId="0" applyNumberFormat="1" applyFont="1" applyFill="1" applyBorder="1"/>
    <xf numFmtId="3" fontId="3" fillId="0" borderId="7" xfId="0" applyNumberFormat="1" applyFont="1" applyBorder="1" applyAlignment="1">
      <alignment horizontal="center"/>
    </xf>
    <xf numFmtId="3" fontId="3" fillId="0" borderId="8" xfId="0" applyNumberFormat="1" applyFont="1" applyBorder="1" applyAlignment="1">
      <alignment horizontal="center"/>
    </xf>
    <xf numFmtId="3" fontId="6" fillId="0" borderId="9" xfId="0" applyNumberFormat="1"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Border="1" applyAlignment="1">
      <alignment horizontal="center"/>
    </xf>
    <xf numFmtId="3" fontId="10" fillId="0" borderId="12" xfId="0" applyNumberFormat="1" applyFont="1" applyBorder="1" applyAlignment="1">
      <alignment horizontal="center"/>
    </xf>
    <xf numFmtId="3" fontId="3" fillId="0" borderId="2" xfId="0" applyNumberFormat="1" applyFont="1" applyFill="1" applyBorder="1" applyAlignment="1">
      <alignment horizontal="center"/>
    </xf>
    <xf numFmtId="3" fontId="9" fillId="0" borderId="13" xfId="0" applyNumberFormat="1" applyFont="1" applyBorder="1"/>
    <xf numFmtId="3" fontId="9" fillId="0" borderId="14" xfId="0" applyNumberFormat="1" applyFont="1" applyBorder="1"/>
    <xf numFmtId="3" fontId="9" fillId="2" borderId="15" xfId="0" applyNumberFormat="1" applyFont="1" applyFill="1" applyBorder="1"/>
    <xf numFmtId="3" fontId="11" fillId="2" borderId="15" xfId="0" applyNumberFormat="1" applyFont="1" applyFill="1" applyBorder="1"/>
    <xf numFmtId="3" fontId="6" fillId="0" borderId="16" xfId="0" applyNumberFormat="1" applyFont="1" applyBorder="1" applyAlignment="1">
      <alignment horizontal="center"/>
    </xf>
    <xf numFmtId="3" fontId="6" fillId="3" borderId="2" xfId="0" applyNumberFormat="1" applyFont="1" applyFill="1" applyBorder="1" applyProtection="1">
      <protection locked="0"/>
    </xf>
    <xf numFmtId="3" fontId="3" fillId="3" borderId="17" xfId="0" applyNumberFormat="1" applyFont="1" applyFill="1" applyBorder="1" applyProtection="1">
      <protection locked="0"/>
    </xf>
    <xf numFmtId="3" fontId="6" fillId="3" borderId="18" xfId="0" applyNumberFormat="1" applyFont="1" applyFill="1" applyBorder="1" applyProtection="1">
      <protection locked="0"/>
    </xf>
    <xf numFmtId="3" fontId="3" fillId="3" borderId="19" xfId="0" applyNumberFormat="1" applyFont="1" applyFill="1" applyBorder="1" applyProtection="1">
      <protection locked="0"/>
    </xf>
    <xf numFmtId="3" fontId="6" fillId="3" borderId="20" xfId="0" applyNumberFormat="1" applyFont="1" applyFill="1" applyBorder="1" applyProtection="1">
      <protection locked="0"/>
    </xf>
    <xf numFmtId="3" fontId="3" fillId="3" borderId="21" xfId="0" applyNumberFormat="1" applyFont="1" applyFill="1" applyBorder="1" applyProtection="1">
      <protection locked="0"/>
    </xf>
    <xf numFmtId="167" fontId="6" fillId="4" borderId="2" xfId="0" applyNumberFormat="1" applyFont="1" applyFill="1" applyBorder="1" applyProtection="1">
      <protection locked="0"/>
    </xf>
    <xf numFmtId="168" fontId="6" fillId="4" borderId="9" xfId="0" applyNumberFormat="1" applyFont="1" applyFill="1" applyBorder="1" applyProtection="1">
      <protection locked="0"/>
    </xf>
    <xf numFmtId="3" fontId="6" fillId="4" borderId="2" xfId="0" applyNumberFormat="1" applyFont="1" applyFill="1" applyBorder="1" applyProtection="1">
      <protection locked="0"/>
    </xf>
    <xf numFmtId="3" fontId="6" fillId="3" borderId="22" xfId="0" applyNumberFormat="1" applyFont="1" applyFill="1" applyBorder="1" applyProtection="1">
      <protection locked="0"/>
    </xf>
    <xf numFmtId="3" fontId="6" fillId="4" borderId="20" xfId="0" applyNumberFormat="1" applyFont="1" applyFill="1" applyBorder="1" applyProtection="1">
      <protection locked="0"/>
    </xf>
    <xf numFmtId="168" fontId="6" fillId="4" borderId="2" xfId="0" applyNumberFormat="1" applyFont="1" applyFill="1" applyBorder="1" applyProtection="1">
      <protection locked="0"/>
    </xf>
    <xf numFmtId="169" fontId="3" fillId="4" borderId="11" xfId="0" applyNumberFormat="1" applyFont="1" applyFill="1" applyBorder="1" applyProtection="1">
      <protection locked="0"/>
    </xf>
    <xf numFmtId="167" fontId="6" fillId="4" borderId="11" xfId="0" applyNumberFormat="1" applyFont="1" applyFill="1" applyBorder="1" applyProtection="1">
      <protection locked="0"/>
    </xf>
    <xf numFmtId="167" fontId="6" fillId="4" borderId="9" xfId="0" applyNumberFormat="1" applyFont="1" applyFill="1" applyBorder="1" applyProtection="1">
      <protection locked="0"/>
    </xf>
    <xf numFmtId="0" fontId="8" fillId="0" borderId="0" xfId="0" applyFont="1" applyAlignment="1">
      <alignment horizontal="center"/>
    </xf>
    <xf numFmtId="4" fontId="6" fillId="4" borderId="2" xfId="0" applyNumberFormat="1" applyFont="1" applyFill="1" applyBorder="1" applyProtection="1">
      <protection locked="0"/>
    </xf>
    <xf numFmtId="169" fontId="3" fillId="2" borderId="11" xfId="0" applyNumberFormat="1" applyFont="1" applyFill="1" applyBorder="1" applyProtection="1"/>
    <xf numFmtId="3" fontId="6" fillId="2" borderId="1" xfId="0" applyNumberFormat="1" applyFont="1" applyFill="1" applyBorder="1" applyProtection="1"/>
    <xf numFmtId="3" fontId="6" fillId="2" borderId="2" xfId="0" applyNumberFormat="1" applyFont="1" applyFill="1" applyBorder="1" applyProtection="1"/>
    <xf numFmtId="0" fontId="3" fillId="2" borderId="0" xfId="0" applyFont="1" applyFill="1" applyProtection="1"/>
    <xf numFmtId="3" fontId="6" fillId="2" borderId="9" xfId="0" applyNumberFormat="1" applyFont="1" applyFill="1" applyBorder="1" applyAlignment="1" applyProtection="1">
      <alignment horizontal="center"/>
    </xf>
    <xf numFmtId="164" fontId="8" fillId="2" borderId="4" xfId="0" applyNumberFormat="1" applyFont="1" applyFill="1" applyBorder="1" applyProtection="1"/>
    <xf numFmtId="4" fontId="6" fillId="4" borderId="11" xfId="0" applyNumberFormat="1" applyFont="1" applyFill="1" applyBorder="1" applyProtection="1">
      <protection locked="0"/>
    </xf>
    <xf numFmtId="3" fontId="6" fillId="0" borderId="20" xfId="0" applyNumberFormat="1" applyFont="1" applyBorder="1"/>
    <xf numFmtId="3" fontId="2" fillId="0" borderId="23" xfId="0" applyNumberFormat="1" applyFont="1" applyBorder="1"/>
    <xf numFmtId="3" fontId="2" fillId="0" borderId="24" xfId="0" applyNumberFormat="1" applyFont="1" applyBorder="1" applyAlignment="1">
      <alignment horizontal="right"/>
    </xf>
    <xf numFmtId="3" fontId="6" fillId="0" borderId="25" xfId="0" applyNumberFormat="1" applyFont="1" applyBorder="1" applyAlignment="1">
      <alignment horizontal="center" wrapText="1"/>
    </xf>
    <xf numFmtId="3" fontId="2" fillId="2" borderId="26" xfId="0" applyNumberFormat="1" applyFont="1" applyFill="1" applyBorder="1"/>
    <xf numFmtId="3" fontId="7" fillId="0" borderId="26" xfId="0" applyNumberFormat="1" applyFont="1" applyBorder="1"/>
    <xf numFmtId="3" fontId="6" fillId="2" borderId="27" xfId="0" applyNumberFormat="1" applyFont="1" applyFill="1" applyBorder="1" applyAlignment="1">
      <alignment horizontal="center"/>
    </xf>
    <xf numFmtId="164" fontId="2" fillId="0" borderId="28" xfId="0" applyNumberFormat="1" applyFont="1" applyBorder="1"/>
    <xf numFmtId="0" fontId="3" fillId="0" borderId="0" xfId="0" applyFont="1" applyAlignment="1">
      <alignment horizontal="right"/>
    </xf>
    <xf numFmtId="9" fontId="3" fillId="0" borderId="0" xfId="1" applyFont="1"/>
    <xf numFmtId="2" fontId="3" fillId="0" borderId="0" xfId="0" applyNumberFormat="1" applyFont="1"/>
    <xf numFmtId="0" fontId="7" fillId="0" borderId="0" xfId="0" applyFont="1"/>
    <xf numFmtId="3" fontId="3" fillId="0" borderId="17" xfId="0" applyNumberFormat="1" applyFont="1" applyFill="1" applyBorder="1" applyProtection="1"/>
    <xf numFmtId="4" fontId="6" fillId="0" borderId="2" xfId="0" applyNumberFormat="1" applyFont="1" applyFill="1" applyBorder="1" applyAlignment="1" applyProtection="1">
      <alignment horizontal="center"/>
    </xf>
    <xf numFmtId="0" fontId="16" fillId="0" borderId="0" xfId="0" applyFont="1"/>
    <xf numFmtId="0" fontId="17" fillId="0" borderId="0" xfId="0" applyFont="1"/>
    <xf numFmtId="0" fontId="16" fillId="0" borderId="0" xfId="0" applyFont="1" applyAlignment="1">
      <alignment horizontal="right"/>
    </xf>
    <xf numFmtId="3" fontId="3" fillId="0" borderId="17" xfId="0" applyNumberFormat="1" applyFont="1" applyFill="1" applyBorder="1" applyAlignment="1">
      <alignment horizontal="center"/>
    </xf>
    <xf numFmtId="3" fontId="12" fillId="0" borderId="29" xfId="0" applyNumberFormat="1" applyFont="1" applyBorder="1"/>
    <xf numFmtId="3" fontId="5" fillId="0" borderId="30" xfId="0" applyNumberFormat="1" applyFont="1" applyBorder="1" applyAlignment="1">
      <alignment horizontal="center"/>
    </xf>
    <xf numFmtId="164" fontId="13" fillId="0" borderId="31" xfId="0" applyNumberFormat="1" applyFont="1" applyBorder="1"/>
    <xf numFmtId="3" fontId="12" fillId="0" borderId="32" xfId="0" applyNumberFormat="1" applyFont="1" applyBorder="1"/>
    <xf numFmtId="3" fontId="12" fillId="0" borderId="33" xfId="0" applyNumberFormat="1" applyFont="1" applyBorder="1"/>
    <xf numFmtId="164" fontId="6" fillId="0" borderId="34" xfId="0" applyNumberFormat="1" applyFont="1" applyBorder="1"/>
    <xf numFmtId="3" fontId="6" fillId="0" borderId="35" xfId="0" applyNumberFormat="1" applyFont="1" applyBorder="1"/>
    <xf numFmtId="3" fontId="6" fillId="0" borderId="36" xfId="0" applyNumberFormat="1" applyFont="1" applyBorder="1" applyAlignment="1">
      <alignment horizontal="center"/>
    </xf>
    <xf numFmtId="164" fontId="6" fillId="0" borderId="37" xfId="0" applyNumberFormat="1" applyFont="1" applyBorder="1"/>
    <xf numFmtId="3" fontId="6" fillId="0" borderId="38" xfId="0" applyNumberFormat="1" applyFont="1" applyBorder="1"/>
    <xf numFmtId="3" fontId="6" fillId="0" borderId="39" xfId="0" applyNumberFormat="1" applyFont="1" applyBorder="1" applyAlignment="1">
      <alignment horizontal="center"/>
    </xf>
    <xf numFmtId="164" fontId="6" fillId="0" borderId="40" xfId="0" applyNumberFormat="1" applyFont="1" applyBorder="1"/>
    <xf numFmtId="3" fontId="6" fillId="4" borderId="41" xfId="0" applyNumberFormat="1" applyFont="1" applyFill="1" applyBorder="1" applyProtection="1">
      <protection locked="0"/>
    </xf>
    <xf numFmtId="4" fontId="6" fillId="4" borderId="42" xfId="0" applyNumberFormat="1" applyFont="1" applyFill="1" applyBorder="1" applyProtection="1">
      <protection locked="0"/>
    </xf>
    <xf numFmtId="9" fontId="3" fillId="4" borderId="0" xfId="1" applyFont="1" applyFill="1" applyProtection="1">
      <protection locked="0"/>
    </xf>
    <xf numFmtId="4" fontId="6" fillId="0" borderId="11" xfId="0" applyNumberFormat="1" applyFont="1" applyFill="1" applyBorder="1" applyProtection="1"/>
    <xf numFmtId="3" fontId="5" fillId="0" borderId="10" xfId="0" applyNumberFormat="1" applyFont="1" applyBorder="1" applyAlignment="1">
      <alignment horizontal="center"/>
    </xf>
    <xf numFmtId="3" fontId="4" fillId="0" borderId="12" xfId="0" applyNumberFormat="1" applyFont="1" applyBorder="1" applyAlignment="1">
      <alignment horizontal="center"/>
    </xf>
    <xf numFmtId="164" fontId="4" fillId="0" borderId="43" xfId="0" applyNumberFormat="1" applyFont="1" applyBorder="1"/>
    <xf numFmtId="3" fontId="13" fillId="5" borderId="44" xfId="0" applyNumberFormat="1" applyFont="1" applyFill="1" applyBorder="1" applyAlignment="1">
      <alignment horizontal="right" vertical="center"/>
    </xf>
    <xf numFmtId="3" fontId="19" fillId="5" borderId="45" xfId="0" applyNumberFormat="1" applyFont="1" applyFill="1" applyBorder="1" applyAlignment="1">
      <alignment horizontal="center" vertical="center"/>
    </xf>
    <xf numFmtId="3" fontId="5" fillId="5" borderId="44" xfId="0" applyNumberFormat="1" applyFont="1" applyFill="1" applyBorder="1" applyAlignment="1">
      <alignment horizontal="right" vertical="center"/>
    </xf>
    <xf numFmtId="172" fontId="6" fillId="4" borderId="42" xfId="0" applyNumberFormat="1" applyFont="1" applyFill="1" applyBorder="1" applyAlignment="1" applyProtection="1">
      <protection locked="0"/>
    </xf>
    <xf numFmtId="3" fontId="6" fillId="0" borderId="46" xfId="0" applyNumberFormat="1" applyFont="1" applyBorder="1"/>
    <xf numFmtId="3" fontId="6" fillId="0" borderId="47" xfId="0" applyNumberFormat="1" applyFont="1" applyBorder="1"/>
    <xf numFmtId="3" fontId="6" fillId="0" borderId="48" xfId="0" applyNumberFormat="1" applyFont="1" applyBorder="1"/>
    <xf numFmtId="4" fontId="6" fillId="4" borderId="41" xfId="0" applyNumberFormat="1" applyFont="1" applyFill="1" applyBorder="1" applyAlignment="1" applyProtection="1">
      <alignment horizontal="right"/>
      <protection locked="0"/>
    </xf>
    <xf numFmtId="3" fontId="6" fillId="4" borderId="42" xfId="0" applyNumberFormat="1" applyFont="1" applyFill="1" applyBorder="1" applyAlignment="1" applyProtection="1">
      <alignment horizontal="right"/>
      <protection locked="0"/>
    </xf>
    <xf numFmtId="3" fontId="6" fillId="2" borderId="49" xfId="0" applyNumberFormat="1" applyFont="1" applyFill="1" applyBorder="1"/>
    <xf numFmtId="4" fontId="6" fillId="4" borderId="20" xfId="0" applyNumberFormat="1" applyFont="1" applyFill="1" applyBorder="1" applyProtection="1">
      <protection locked="0"/>
    </xf>
    <xf numFmtId="168" fontId="6" fillId="4" borderId="11" xfId="0" applyNumberFormat="1" applyFont="1" applyFill="1" applyBorder="1" applyProtection="1">
      <protection locked="0"/>
    </xf>
    <xf numFmtId="174" fontId="3" fillId="0" borderId="17" xfId="0" applyNumberFormat="1" applyFont="1" applyFill="1" applyBorder="1" applyProtection="1"/>
    <xf numFmtId="167" fontId="3" fillId="0" borderId="17" xfId="0" applyNumberFormat="1" applyFont="1" applyFill="1" applyBorder="1" applyProtection="1"/>
    <xf numFmtId="4" fontId="3" fillId="0" borderId="17" xfId="0" applyNumberFormat="1" applyFont="1" applyFill="1" applyBorder="1" applyProtection="1"/>
    <xf numFmtId="164" fontId="9" fillId="0" borderId="43" xfId="0" applyNumberFormat="1" applyFont="1" applyBorder="1"/>
    <xf numFmtId="3" fontId="6" fillId="2" borderId="20" xfId="0" applyNumberFormat="1" applyFont="1" applyFill="1" applyBorder="1" applyAlignment="1" applyProtection="1">
      <alignment horizontal="center"/>
    </xf>
    <xf numFmtId="0" fontId="0" fillId="0" borderId="0" xfId="0" applyBorder="1"/>
    <xf numFmtId="0" fontId="0" fillId="0" borderId="50" xfId="0" applyBorder="1" applyAlignment="1">
      <alignment horizontal="center"/>
    </xf>
    <xf numFmtId="0" fontId="0" fillId="0" borderId="51" xfId="0" applyBorder="1"/>
    <xf numFmtId="0" fontId="0" fillId="0" borderId="52" xfId="0" applyBorder="1"/>
    <xf numFmtId="0" fontId="0" fillId="0" borderId="53" xfId="0" applyBorder="1"/>
    <xf numFmtId="0" fontId="0" fillId="0" borderId="54" xfId="0" applyBorder="1"/>
    <xf numFmtId="0" fontId="0" fillId="0" borderId="55" xfId="0" applyBorder="1" applyAlignment="1">
      <alignment horizontal="center"/>
    </xf>
    <xf numFmtId="0" fontId="0" fillId="0" borderId="56" xfId="0" applyBorder="1"/>
    <xf numFmtId="0" fontId="0" fillId="0" borderId="57" xfId="0" applyBorder="1" applyAlignment="1">
      <alignment horizontal="center"/>
    </xf>
    <xf numFmtId="0" fontId="0" fillId="0" borderId="44" xfId="0" applyBorder="1"/>
    <xf numFmtId="0" fontId="0" fillId="0" borderId="58" xfId="0" applyBorder="1" applyAlignment="1">
      <alignment horizontal="center"/>
    </xf>
    <xf numFmtId="0" fontId="0" fillId="0" borderId="57" xfId="0" applyBorder="1"/>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23" fillId="0" borderId="0" xfId="0" applyFont="1"/>
    <xf numFmtId="0" fontId="24" fillId="0" borderId="0" xfId="0" applyFont="1"/>
    <xf numFmtId="0" fontId="0" fillId="0" borderId="64" xfId="0" applyBorder="1" applyAlignment="1">
      <alignment horizontal="center"/>
    </xf>
    <xf numFmtId="0" fontId="0" fillId="0" borderId="65" xfId="0" applyBorder="1" applyAlignment="1">
      <alignment horizontal="center"/>
    </xf>
    <xf numFmtId="173" fontId="0" fillId="0" borderId="66" xfId="0" applyNumberFormat="1" applyBorder="1" applyAlignment="1">
      <alignment horizontal="center"/>
    </xf>
    <xf numFmtId="173" fontId="0" fillId="0" borderId="67" xfId="0" applyNumberFormat="1" applyBorder="1" applyAlignment="1">
      <alignment horizontal="center"/>
    </xf>
    <xf numFmtId="0" fontId="0" fillId="0" borderId="67" xfId="0" applyBorder="1" applyAlignment="1">
      <alignment horizontal="center"/>
    </xf>
    <xf numFmtId="9" fontId="0" fillId="0" borderId="67" xfId="0" applyNumberFormat="1" applyBorder="1" applyAlignment="1">
      <alignment horizontal="center"/>
    </xf>
    <xf numFmtId="173" fontId="0" fillId="0" borderId="68" xfId="0" applyNumberFormat="1" applyBorder="1" applyAlignment="1">
      <alignment horizontal="center"/>
    </xf>
    <xf numFmtId="0" fontId="0" fillId="0" borderId="56" xfId="0" applyBorder="1" applyAlignment="1">
      <alignment horizontal="center"/>
    </xf>
    <xf numFmtId="173" fontId="0" fillId="0" borderId="56" xfId="0" applyNumberFormat="1" applyBorder="1" applyAlignment="1">
      <alignment horizontal="center"/>
    </xf>
    <xf numFmtId="173" fontId="0" fillId="0" borderId="53" xfId="0" applyNumberFormat="1" applyBorder="1" applyAlignment="1">
      <alignment horizontal="center"/>
    </xf>
    <xf numFmtId="0" fontId="22" fillId="0" borderId="13" xfId="0" applyFont="1" applyBorder="1"/>
    <xf numFmtId="0" fontId="0" fillId="0" borderId="15" xfId="0" applyBorder="1"/>
    <xf numFmtId="0" fontId="0" fillId="0" borderId="13" xfId="0" applyBorder="1" applyAlignment="1">
      <alignment horizontal="center"/>
    </xf>
    <xf numFmtId="0" fontId="0" fillId="0" borderId="28" xfId="0" applyBorder="1" applyAlignment="1">
      <alignment horizontal="center"/>
    </xf>
    <xf numFmtId="4" fontId="6" fillId="2" borderId="11" xfId="0" applyNumberFormat="1" applyFont="1" applyFill="1" applyBorder="1" applyProtection="1"/>
    <xf numFmtId="3" fontId="6" fillId="2" borderId="49" xfId="0" applyNumberFormat="1" applyFont="1" applyFill="1" applyBorder="1" applyProtection="1"/>
    <xf numFmtId="3" fontId="3" fillId="2" borderId="21" xfId="0" applyNumberFormat="1" applyFont="1" applyFill="1" applyBorder="1" applyProtection="1"/>
    <xf numFmtId="3" fontId="6" fillId="0" borderId="11" xfId="0" applyNumberFormat="1" applyFont="1" applyBorder="1" applyAlignment="1" applyProtection="1">
      <alignment horizontal="center"/>
    </xf>
    <xf numFmtId="164" fontId="31" fillId="2" borderId="4" xfId="0" applyNumberFormat="1" applyFont="1" applyFill="1" applyBorder="1" applyProtection="1"/>
    <xf numFmtId="3" fontId="3" fillId="2" borderId="17" xfId="0" applyNumberFormat="1" applyFont="1" applyFill="1" applyBorder="1" applyProtection="1"/>
    <xf numFmtId="3" fontId="6" fillId="0" borderId="9" xfId="0" applyNumberFormat="1" applyFont="1" applyBorder="1" applyAlignment="1" applyProtection="1">
      <alignment horizontal="center"/>
    </xf>
    <xf numFmtId="0" fontId="25" fillId="0" borderId="0" xfId="0" applyFont="1"/>
    <xf numFmtId="3" fontId="5" fillId="0" borderId="69" xfId="0" applyNumberFormat="1" applyFont="1" applyBorder="1" applyAlignment="1">
      <alignment horizontal="left"/>
    </xf>
    <xf numFmtId="3" fontId="5" fillId="0" borderId="48" xfId="0" applyNumberFormat="1" applyFont="1" applyBorder="1" applyAlignment="1">
      <alignment horizontal="left"/>
    </xf>
    <xf numFmtId="3" fontId="5" fillId="0" borderId="70" xfId="0" applyNumberFormat="1" applyFont="1" applyBorder="1" applyAlignment="1">
      <alignment horizontal="center"/>
    </xf>
    <xf numFmtId="3" fontId="19" fillId="6" borderId="70" xfId="0" applyNumberFormat="1" applyFont="1" applyFill="1" applyBorder="1" applyAlignment="1">
      <alignment horizontal="center"/>
    </xf>
    <xf numFmtId="164" fontId="19" fillId="6" borderId="71" xfId="0" applyNumberFormat="1" applyFont="1" applyFill="1" applyBorder="1"/>
    <xf numFmtId="164" fontId="8" fillId="0" borderId="20" xfId="0" applyNumberFormat="1" applyFont="1" applyBorder="1"/>
    <xf numFmtId="164" fontId="2" fillId="0" borderId="14" xfId="0" applyNumberFormat="1" applyFont="1" applyBorder="1"/>
    <xf numFmtId="164" fontId="31" fillId="2" borderId="2" xfId="0" applyNumberFormat="1" applyFont="1" applyFill="1" applyBorder="1" applyProtection="1"/>
    <xf numFmtId="164" fontId="8" fillId="2" borderId="2" xfId="0" applyNumberFormat="1" applyFont="1" applyFill="1" applyBorder="1"/>
    <xf numFmtId="164" fontId="8" fillId="0" borderId="2" xfId="0" applyNumberFormat="1" applyFont="1" applyBorder="1"/>
    <xf numFmtId="164" fontId="8" fillId="2" borderId="2" xfId="0" applyNumberFormat="1" applyFont="1" applyFill="1" applyBorder="1" applyProtection="1"/>
    <xf numFmtId="164" fontId="9" fillId="0" borderId="72" xfId="0" applyNumberFormat="1" applyFont="1" applyBorder="1"/>
    <xf numFmtId="164" fontId="13" fillId="0" borderId="33" xfId="0" applyNumberFormat="1" applyFont="1" applyBorder="1"/>
    <xf numFmtId="164" fontId="6" fillId="0" borderId="35" xfId="0" applyNumberFormat="1" applyFont="1" applyBorder="1"/>
    <xf numFmtId="164" fontId="6" fillId="0" borderId="38" xfId="0" applyNumberFormat="1" applyFont="1" applyBorder="1"/>
    <xf numFmtId="164" fontId="6" fillId="0" borderId="22" xfId="0" applyNumberFormat="1" applyFont="1" applyBorder="1"/>
    <xf numFmtId="164" fontId="19" fillId="6" borderId="73" xfId="0" applyNumberFormat="1" applyFont="1" applyFill="1" applyBorder="1"/>
    <xf numFmtId="3" fontId="2" fillId="0" borderId="13" xfId="0" applyNumberFormat="1" applyFont="1" applyBorder="1" applyAlignment="1">
      <alignment vertical="center"/>
    </xf>
    <xf numFmtId="3" fontId="2" fillId="0" borderId="14" xfId="0" applyNumberFormat="1" applyFont="1" applyBorder="1"/>
    <xf numFmtId="167" fontId="6" fillId="0" borderId="11" xfId="0" applyNumberFormat="1" applyFont="1" applyFill="1" applyBorder="1" applyProtection="1"/>
    <xf numFmtId="9" fontId="32" fillId="4" borderId="28" xfId="1" applyFont="1" applyFill="1" applyBorder="1" applyAlignment="1" applyProtection="1">
      <alignment horizontal="center" vertical="center" wrapText="1"/>
      <protection locked="0"/>
    </xf>
    <xf numFmtId="3" fontId="5" fillId="6" borderId="74" xfId="0" applyNumberFormat="1" applyFont="1" applyFill="1" applyBorder="1" applyAlignment="1">
      <alignment horizontal="center"/>
    </xf>
    <xf numFmtId="0" fontId="3" fillId="2" borderId="0" xfId="0" applyFont="1" applyFill="1" applyBorder="1" applyProtection="1"/>
    <xf numFmtId="3" fontId="29" fillId="6" borderId="44" xfId="0" applyNumberFormat="1" applyFont="1" applyFill="1" applyBorder="1" applyAlignment="1">
      <alignment horizontal="left"/>
    </xf>
    <xf numFmtId="3" fontId="29" fillId="6" borderId="29" xfId="0" applyNumberFormat="1" applyFont="1" applyFill="1" applyBorder="1" applyAlignment="1">
      <alignment horizontal="left"/>
    </xf>
    <xf numFmtId="3" fontId="19" fillId="6" borderId="33" xfId="0" applyNumberFormat="1" applyFont="1" applyFill="1" applyBorder="1" applyAlignment="1">
      <alignment horizontal="left"/>
    </xf>
    <xf numFmtId="3" fontId="6" fillId="0" borderId="2" xfId="0" applyNumberFormat="1" applyFont="1" applyFill="1" applyBorder="1" applyProtection="1"/>
    <xf numFmtId="171" fontId="32" fillId="4" borderId="44" xfId="0" applyNumberFormat="1" applyFont="1" applyFill="1" applyBorder="1" applyAlignment="1" applyProtection="1">
      <alignment horizontal="right" vertical="center" wrapText="1"/>
      <protection locked="0"/>
    </xf>
    <xf numFmtId="164" fontId="20" fillId="6" borderId="75" xfId="0" applyNumberFormat="1" applyFont="1" applyFill="1" applyBorder="1"/>
    <xf numFmtId="164" fontId="20" fillId="6" borderId="76" xfId="0" applyNumberFormat="1" applyFont="1" applyFill="1" applyBorder="1"/>
    <xf numFmtId="164" fontId="2" fillId="0" borderId="0" xfId="0" applyNumberFormat="1" applyFont="1" applyBorder="1"/>
    <xf numFmtId="3" fontId="20" fillId="6" borderId="32" xfId="0" applyNumberFormat="1" applyFont="1" applyFill="1" applyBorder="1" applyAlignment="1">
      <alignment horizontal="left"/>
    </xf>
    <xf numFmtId="3" fontId="20" fillId="6" borderId="53" xfId="0" applyNumberFormat="1" applyFont="1" applyFill="1" applyBorder="1" applyAlignment="1">
      <alignment horizontal="left"/>
    </xf>
    <xf numFmtId="3" fontId="20" fillId="6" borderId="44" xfId="0" applyNumberFormat="1" applyFont="1" applyFill="1" applyBorder="1" applyAlignment="1">
      <alignment horizontal="left"/>
    </xf>
    <xf numFmtId="0" fontId="2" fillId="0" borderId="14" xfId="0" applyFont="1" applyFill="1" applyBorder="1" applyAlignment="1" applyProtection="1">
      <alignment horizontal="center" vertical="center" wrapText="1"/>
    </xf>
    <xf numFmtId="9" fontId="2" fillId="0" borderId="14" xfId="1" applyFont="1" applyFill="1" applyBorder="1" applyAlignment="1" applyProtection="1">
      <alignment horizontal="center" vertical="center" wrapText="1"/>
    </xf>
    <xf numFmtId="167" fontId="6" fillId="2" borderId="11" xfId="0" applyNumberFormat="1" applyFont="1" applyFill="1" applyBorder="1" applyAlignment="1" applyProtection="1">
      <alignment horizontal="center"/>
    </xf>
    <xf numFmtId="0" fontId="2" fillId="0" borderId="44" xfId="0" applyFont="1" applyFill="1" applyBorder="1" applyAlignment="1" applyProtection="1">
      <alignment horizontal="left" vertical="center" wrapText="1"/>
    </xf>
    <xf numFmtId="0" fontId="2" fillId="4" borderId="55" xfId="0" applyFont="1" applyFill="1" applyBorder="1" applyAlignment="1" applyProtection="1">
      <alignment horizontal="center" vertical="center"/>
      <protection locked="0"/>
    </xf>
    <xf numFmtId="3" fontId="6" fillId="0" borderId="56" xfId="0" applyNumberFormat="1" applyFont="1" applyBorder="1"/>
    <xf numFmtId="3" fontId="6" fillId="0" borderId="77" xfId="0" applyNumberFormat="1" applyFont="1" applyBorder="1" applyAlignment="1">
      <alignment horizontal="center"/>
    </xf>
    <xf numFmtId="164" fontId="8" fillId="0" borderId="57" xfId="0" applyNumberFormat="1" applyFont="1" applyBorder="1"/>
    <xf numFmtId="4" fontId="6" fillId="0" borderId="78" xfId="0" applyNumberFormat="1" applyFont="1" applyFill="1" applyBorder="1" applyAlignment="1" applyProtection="1">
      <alignment horizontal="center"/>
    </xf>
    <xf numFmtId="168" fontId="6" fillId="0" borderId="0" xfId="0" applyNumberFormat="1" applyFont="1" applyFill="1" applyBorder="1" applyProtection="1"/>
    <xf numFmtId="9" fontId="6" fillId="4" borderId="78" xfId="1" applyFont="1" applyFill="1" applyBorder="1" applyProtection="1">
      <protection locked="0"/>
    </xf>
    <xf numFmtId="3" fontId="6" fillId="0" borderId="0" xfId="0" applyNumberFormat="1" applyFont="1" applyFill="1" applyBorder="1" applyProtection="1">
      <protection locked="0"/>
    </xf>
    <xf numFmtId="3" fontId="6" fillId="0" borderId="79" xfId="0" applyNumberFormat="1" applyFont="1" applyBorder="1"/>
    <xf numFmtId="3" fontId="6" fillId="3" borderId="80" xfId="0" applyNumberFormat="1" applyFont="1" applyFill="1" applyBorder="1" applyProtection="1">
      <protection locked="0"/>
    </xf>
    <xf numFmtId="164" fontId="8" fillId="4" borderId="4" xfId="0" applyNumberFormat="1" applyFont="1" applyFill="1" applyBorder="1" applyProtection="1">
      <protection locked="0"/>
    </xf>
    <xf numFmtId="0" fontId="2" fillId="4" borderId="25" xfId="0" applyFont="1" applyFill="1" applyBorder="1" applyAlignment="1" applyProtection="1">
      <alignment horizontal="center" vertical="center"/>
      <protection locked="0"/>
    </xf>
    <xf numFmtId="4" fontId="6" fillId="3" borderId="21" xfId="0" applyNumberFormat="1" applyFont="1" applyFill="1" applyBorder="1" applyProtection="1">
      <protection locked="0"/>
    </xf>
    <xf numFmtId="3" fontId="6" fillId="3" borderId="21" xfId="0" applyNumberFormat="1" applyFont="1" applyFill="1" applyBorder="1" applyProtection="1"/>
    <xf numFmtId="173" fontId="3" fillId="4" borderId="0" xfId="1" applyNumberFormat="1" applyFont="1" applyFill="1" applyProtection="1">
      <protection locked="0"/>
    </xf>
    <xf numFmtId="170" fontId="16" fillId="0" borderId="0" xfId="0" applyNumberFormat="1" applyFont="1"/>
    <xf numFmtId="0" fontId="3" fillId="0" borderId="48" xfId="0" applyFont="1" applyBorder="1"/>
    <xf numFmtId="0" fontId="3" fillId="0" borderId="48" xfId="0" applyFont="1" applyBorder="1" applyAlignment="1">
      <alignment horizontal="right"/>
    </xf>
    <xf numFmtId="0" fontId="8" fillId="0" borderId="48" xfId="0" applyFont="1" applyBorder="1"/>
    <xf numFmtId="0" fontId="33" fillId="4" borderId="25" xfId="0" applyFont="1" applyFill="1" applyBorder="1" applyAlignment="1" applyProtection="1">
      <alignment horizontal="center" vertical="center"/>
      <protection locked="0"/>
    </xf>
    <xf numFmtId="3" fontId="6" fillId="0" borderId="20" xfId="0" applyNumberFormat="1" applyFont="1" applyFill="1" applyBorder="1" applyProtection="1"/>
    <xf numFmtId="4" fontId="6" fillId="4" borderId="21" xfId="0" applyNumberFormat="1" applyFont="1" applyFill="1" applyBorder="1" applyProtection="1">
      <protection locked="0"/>
    </xf>
    <xf numFmtId="3" fontId="5" fillId="0" borderId="56" xfId="0" applyNumberFormat="1" applyFont="1" applyBorder="1" applyAlignment="1">
      <alignment horizontal="left"/>
    </xf>
    <xf numFmtId="3" fontId="5" fillId="0" borderId="0" xfId="0" applyNumberFormat="1" applyFont="1" applyBorder="1" applyAlignment="1">
      <alignment horizontal="left"/>
    </xf>
    <xf numFmtId="3" fontId="5" fillId="0" borderId="77" xfId="0" applyNumberFormat="1" applyFont="1" applyBorder="1" applyAlignment="1">
      <alignment horizontal="center"/>
    </xf>
    <xf numFmtId="164" fontId="4" fillId="0" borderId="73" xfId="0" applyNumberFormat="1" applyFont="1" applyBorder="1"/>
    <xf numFmtId="164" fontId="4" fillId="0" borderId="71" xfId="0" applyNumberFormat="1" applyFont="1" applyBorder="1"/>
    <xf numFmtId="3" fontId="5" fillId="0" borderId="81" xfId="0" applyNumberFormat="1" applyFont="1" applyBorder="1" applyAlignment="1">
      <alignment horizontal="left"/>
    </xf>
    <xf numFmtId="3" fontId="5" fillId="0" borderId="82" xfId="0" applyNumberFormat="1" applyFont="1" applyBorder="1" applyAlignment="1">
      <alignment horizontal="left"/>
    </xf>
    <xf numFmtId="3" fontId="5" fillId="0" borderId="83" xfId="0" applyNumberFormat="1" applyFont="1" applyBorder="1" applyAlignment="1">
      <alignment horizontal="center"/>
    </xf>
    <xf numFmtId="164" fontId="5" fillId="0" borderId="83" xfId="0" applyNumberFormat="1" applyFont="1" applyBorder="1"/>
    <xf numFmtId="164" fontId="5" fillId="0" borderId="84" xfId="0" applyNumberFormat="1" applyFont="1" applyBorder="1"/>
    <xf numFmtId="0" fontId="32" fillId="4" borderId="27" xfId="0" applyFont="1" applyFill="1" applyBorder="1" applyAlignment="1" applyProtection="1">
      <alignment horizontal="center" vertical="center"/>
      <protection locked="0"/>
    </xf>
    <xf numFmtId="164" fontId="6" fillId="0" borderId="5" xfId="0" applyNumberFormat="1" applyFont="1" applyBorder="1"/>
    <xf numFmtId="0" fontId="6" fillId="0" borderId="48" xfId="0" applyFont="1" applyBorder="1"/>
    <xf numFmtId="164" fontId="6" fillId="0" borderId="4" xfId="0" applyNumberFormat="1" applyFont="1" applyBorder="1"/>
    <xf numFmtId="164" fontId="6" fillId="2" borderId="4" xfId="0" applyNumberFormat="1" applyFont="1" applyFill="1" applyBorder="1"/>
    <xf numFmtId="164" fontId="6" fillId="4" borderId="4" xfId="0" applyNumberFormat="1" applyFont="1" applyFill="1" applyBorder="1" applyProtection="1">
      <protection locked="0"/>
    </xf>
    <xf numFmtId="164" fontId="6" fillId="2" borderId="4" xfId="0" applyNumberFormat="1" applyFont="1" applyFill="1" applyBorder="1" applyProtection="1"/>
    <xf numFmtId="164" fontId="6" fillId="0" borderId="57" xfId="0" applyNumberFormat="1" applyFont="1" applyBorder="1"/>
    <xf numFmtId="164" fontId="6" fillId="0" borderId="0" xfId="0" applyNumberFormat="1" applyFont="1"/>
    <xf numFmtId="0" fontId="6" fillId="0" borderId="0" xfId="0" applyFont="1" applyAlignment="1">
      <alignment horizontal="center"/>
    </xf>
    <xf numFmtId="164" fontId="20" fillId="5" borderId="58" xfId="0" applyNumberFormat="1" applyFont="1" applyFill="1" applyBorder="1" applyAlignment="1">
      <alignment vertical="center"/>
    </xf>
    <xf numFmtId="166" fontId="4" fillId="0" borderId="85" xfId="0" applyNumberFormat="1" applyFont="1" applyBorder="1" applyAlignment="1">
      <alignment horizontal="right"/>
    </xf>
    <xf numFmtId="4" fontId="6" fillId="4" borderId="2" xfId="0" applyNumberFormat="1" applyFont="1" applyFill="1" applyBorder="1" applyAlignment="1" applyProtection="1">
      <alignment horizontal="center"/>
      <protection locked="0"/>
    </xf>
    <xf numFmtId="4" fontId="6" fillId="4" borderId="78" xfId="0" applyNumberFormat="1" applyFont="1" applyFill="1" applyBorder="1" applyAlignment="1" applyProtection="1">
      <alignment horizontal="center"/>
      <protection locked="0"/>
    </xf>
    <xf numFmtId="6" fontId="6" fillId="5" borderId="44" xfId="0" applyNumberFormat="1" applyFont="1" applyFill="1" applyBorder="1" applyAlignment="1">
      <alignment vertical="center"/>
    </xf>
    <xf numFmtId="3" fontId="5" fillId="0" borderId="86" xfId="0" applyNumberFormat="1" applyFont="1" applyBorder="1" applyAlignment="1">
      <alignment horizontal="left"/>
    </xf>
    <xf numFmtId="3" fontId="5" fillId="0" borderId="87" xfId="0" applyNumberFormat="1" applyFont="1" applyBorder="1" applyAlignment="1">
      <alignment horizontal="left"/>
    </xf>
    <xf numFmtId="0" fontId="32" fillId="0" borderId="27" xfId="0" applyFont="1" applyFill="1" applyBorder="1" applyAlignment="1" applyProtection="1">
      <alignment horizontal="left" vertical="center" wrapText="1"/>
    </xf>
    <xf numFmtId="0" fontId="33" fillId="0" borderId="88" xfId="0" applyFont="1" applyFill="1" applyBorder="1" applyAlignment="1" applyProtection="1">
      <alignment horizontal="left" vertical="center" wrapText="1"/>
    </xf>
    <xf numFmtId="0" fontId="2" fillId="0" borderId="27" xfId="0" applyFont="1" applyFill="1" applyBorder="1" applyAlignment="1" applyProtection="1">
      <alignment horizontal="center" vertical="center" wrapText="1"/>
    </xf>
    <xf numFmtId="3" fontId="5" fillId="0" borderId="89" xfId="0" applyNumberFormat="1" applyFont="1" applyBorder="1" applyAlignment="1">
      <alignment horizontal="center"/>
    </xf>
    <xf numFmtId="164" fontId="19" fillId="0" borderId="85" xfId="0" applyNumberFormat="1" applyFont="1" applyBorder="1"/>
    <xf numFmtId="3" fontId="5" fillId="0" borderId="90" xfId="0" applyNumberFormat="1" applyFont="1" applyBorder="1" applyAlignment="1">
      <alignment horizontal="left"/>
    </xf>
    <xf numFmtId="3" fontId="5" fillId="0" borderId="91" xfId="0" applyNumberFormat="1" applyFont="1" applyBorder="1" applyAlignment="1">
      <alignment horizontal="center"/>
    </xf>
    <xf numFmtId="164" fontId="19" fillId="0" borderId="92" xfId="0" applyNumberFormat="1" applyFont="1" applyBorder="1"/>
    <xf numFmtId="3" fontId="5" fillId="0" borderId="93" xfId="0" applyNumberFormat="1" applyFont="1" applyBorder="1" applyAlignment="1">
      <alignment horizontal="left"/>
    </xf>
    <xf numFmtId="3" fontId="5" fillId="0" borderId="94" xfId="0" applyNumberFormat="1" applyFont="1" applyBorder="1" applyAlignment="1">
      <alignment horizontal="left"/>
    </xf>
    <xf numFmtId="3" fontId="5" fillId="0" borderId="95" xfId="0" applyNumberFormat="1" applyFont="1" applyBorder="1" applyAlignment="1">
      <alignment horizontal="left"/>
    </xf>
    <xf numFmtId="3" fontId="5" fillId="0" borderId="96" xfId="0" applyNumberFormat="1" applyFont="1" applyBorder="1" applyAlignment="1">
      <alignment horizontal="left"/>
    </xf>
    <xf numFmtId="3" fontId="5" fillId="0" borderId="97" xfId="0" applyNumberFormat="1" applyFont="1" applyBorder="1" applyAlignment="1">
      <alignment horizontal="left"/>
    </xf>
    <xf numFmtId="3" fontId="5" fillId="0" borderId="98" xfId="0" applyNumberFormat="1" applyFont="1" applyBorder="1" applyAlignment="1">
      <alignment horizontal="center"/>
    </xf>
    <xf numFmtId="166" fontId="19" fillId="0" borderId="99" xfId="0" applyNumberFormat="1" applyFont="1" applyBorder="1"/>
    <xf numFmtId="166" fontId="4" fillId="0" borderId="100" xfId="0" applyNumberFormat="1" applyFont="1" applyBorder="1" applyAlignment="1">
      <alignment horizontal="right"/>
    </xf>
    <xf numFmtId="3" fontId="3" fillId="0" borderId="22" xfId="0" applyNumberFormat="1" applyFont="1" applyBorder="1" applyAlignment="1">
      <alignment horizontal="center" vertical="center" wrapText="1"/>
    </xf>
    <xf numFmtId="3" fontId="6" fillId="2" borderId="88" xfId="0" applyNumberFormat="1" applyFont="1" applyFill="1" applyBorder="1" applyAlignment="1">
      <alignment horizontal="center"/>
    </xf>
    <xf numFmtId="164" fontId="8" fillId="0" borderId="0" xfId="0" applyNumberFormat="1" applyFont="1" applyBorder="1"/>
    <xf numFmtId="164" fontId="9" fillId="0" borderId="0" xfId="0" applyNumberFormat="1" applyFont="1" applyBorder="1"/>
    <xf numFmtId="164" fontId="13" fillId="0" borderId="0" xfId="0" applyNumberFormat="1" applyFont="1" applyBorder="1"/>
    <xf numFmtId="164" fontId="6" fillId="0" borderId="0" xfId="0" applyNumberFormat="1" applyFont="1" applyBorder="1"/>
    <xf numFmtId="0" fontId="2" fillId="0" borderId="0" xfId="0" applyFont="1" applyBorder="1"/>
    <xf numFmtId="0" fontId="8" fillId="0" borderId="0" xfId="0" applyFont="1" applyBorder="1" applyAlignment="1">
      <alignment horizontal="center"/>
    </xf>
    <xf numFmtId="3" fontId="6" fillId="0" borderId="56" xfId="0" applyNumberFormat="1" applyFont="1" applyBorder="1" applyAlignment="1">
      <alignment horizontal="left" vertical="center"/>
    </xf>
    <xf numFmtId="0" fontId="6" fillId="0" borderId="101" xfId="0" applyFont="1" applyBorder="1"/>
    <xf numFmtId="0" fontId="6" fillId="0" borderId="102" xfId="0" applyFont="1" applyBorder="1"/>
    <xf numFmtId="3" fontId="6" fillId="0" borderId="50" xfId="0" applyNumberFormat="1" applyFont="1" applyBorder="1" applyAlignment="1">
      <alignment horizontal="center" vertical="center" wrapText="1"/>
    </xf>
    <xf numFmtId="3" fontId="3" fillId="0" borderId="103" xfId="0" applyNumberFormat="1" applyFont="1" applyBorder="1" applyAlignment="1">
      <alignment horizontal="center" vertical="center" wrapText="1"/>
    </xf>
    <xf numFmtId="3" fontId="6" fillId="0" borderId="104" xfId="0" applyNumberFormat="1" applyFont="1" applyBorder="1" applyAlignment="1">
      <alignment horizontal="center" vertical="center" wrapText="1"/>
    </xf>
    <xf numFmtId="3" fontId="2" fillId="7" borderId="105" xfId="0" applyNumberFormat="1" applyFont="1" applyFill="1" applyBorder="1" applyAlignment="1">
      <alignment horizontal="center" vertical="center"/>
    </xf>
    <xf numFmtId="176" fontId="6" fillId="0" borderId="77" xfId="0" applyNumberFormat="1" applyFont="1" applyBorder="1" applyAlignment="1">
      <alignment horizontal="right" vertical="center"/>
    </xf>
    <xf numFmtId="175" fontId="6" fillId="0" borderId="77" xfId="0" applyNumberFormat="1" applyFont="1" applyBorder="1" applyAlignment="1">
      <alignment horizontal="right" vertical="center"/>
    </xf>
    <xf numFmtId="175" fontId="6" fillId="7" borderId="77" xfId="0" applyNumberFormat="1" applyFont="1" applyFill="1" applyBorder="1" applyAlignment="1">
      <alignment horizontal="right" vertical="center"/>
    </xf>
    <xf numFmtId="3" fontId="6" fillId="0" borderId="68" xfId="0" applyNumberFormat="1" applyFont="1" applyBorder="1" applyAlignment="1">
      <alignment horizontal="left" vertical="center"/>
    </xf>
    <xf numFmtId="3" fontId="6" fillId="0" borderId="106" xfId="0" applyNumberFormat="1" applyFont="1" applyBorder="1" applyAlignment="1">
      <alignment horizontal="left" vertical="center"/>
    </xf>
    <xf numFmtId="175" fontId="6" fillId="0" borderId="45" xfId="0" applyNumberFormat="1" applyFont="1" applyFill="1" applyBorder="1" applyAlignment="1">
      <alignment horizontal="right" vertical="center"/>
    </xf>
    <xf numFmtId="3" fontId="6" fillId="0" borderId="67" xfId="0" applyNumberFormat="1" applyFont="1" applyBorder="1" applyAlignment="1">
      <alignment horizontal="left" vertical="center"/>
    </xf>
    <xf numFmtId="175" fontId="6" fillId="0" borderId="77" xfId="0" applyNumberFormat="1" applyFont="1" applyFill="1" applyBorder="1" applyAlignment="1">
      <alignment horizontal="right" vertical="center"/>
    </xf>
    <xf numFmtId="3" fontId="2" fillId="0" borderId="53" xfId="0" applyNumberFormat="1" applyFont="1" applyBorder="1" applyAlignment="1">
      <alignment horizontal="left" wrapText="1"/>
    </xf>
    <xf numFmtId="3" fontId="2" fillId="0" borderId="44" xfId="0" applyNumberFormat="1" applyFont="1" applyBorder="1" applyAlignment="1">
      <alignment horizontal="left" wrapText="1"/>
    </xf>
    <xf numFmtId="171" fontId="3" fillId="0" borderId="16" xfId="0" applyNumberFormat="1" applyFont="1" applyFill="1" applyBorder="1" applyAlignment="1" applyProtection="1">
      <alignment horizontal="center" vertical="center" wrapText="1"/>
    </xf>
    <xf numFmtId="0" fontId="6" fillId="0" borderId="0" xfId="5" applyFont="1"/>
    <xf numFmtId="0" fontId="3" fillId="0" borderId="0" xfId="5" applyFont="1"/>
    <xf numFmtId="0" fontId="2" fillId="4" borderId="27" xfId="5" applyFont="1" applyFill="1" applyBorder="1" applyAlignment="1" applyProtection="1">
      <alignment horizontal="center" vertical="center"/>
      <protection locked="0"/>
    </xf>
    <xf numFmtId="0" fontId="2" fillId="0" borderId="27" xfId="5" applyFont="1" applyFill="1" applyBorder="1" applyAlignment="1" applyProtection="1">
      <alignment horizontal="center" vertical="center" wrapText="1"/>
    </xf>
    <xf numFmtId="0" fontId="2" fillId="8" borderId="25" xfId="5" applyFont="1" applyFill="1" applyBorder="1" applyAlignment="1" applyProtection="1">
      <alignment horizontal="center" vertical="center"/>
    </xf>
    <xf numFmtId="0" fontId="6" fillId="0" borderId="50" xfId="5" applyFont="1" applyBorder="1"/>
    <xf numFmtId="0" fontId="7" fillId="0" borderId="0" xfId="5" applyFont="1"/>
    <xf numFmtId="3" fontId="6" fillId="0" borderId="6" xfId="5" applyNumberFormat="1" applyFont="1" applyBorder="1"/>
    <xf numFmtId="3" fontId="6" fillId="3" borderId="20" xfId="5" applyNumberFormat="1" applyFont="1" applyFill="1" applyBorder="1" applyProtection="1">
      <protection locked="0"/>
    </xf>
    <xf numFmtId="167" fontId="6" fillId="4" borderId="11" xfId="5" applyNumberFormat="1" applyFont="1" applyFill="1" applyBorder="1" applyProtection="1">
      <protection locked="0"/>
    </xf>
    <xf numFmtId="4" fontId="6" fillId="0" borderId="11" xfId="5" applyNumberFormat="1" applyFont="1" applyFill="1" applyBorder="1" applyProtection="1"/>
    <xf numFmtId="3" fontId="6" fillId="0" borderId="11" xfId="5" applyNumberFormat="1" applyFont="1" applyBorder="1" applyAlignment="1">
      <alignment horizontal="center"/>
    </xf>
    <xf numFmtId="164" fontId="6" fillId="0" borderId="5" xfId="5" applyNumberFormat="1" applyFont="1" applyBorder="1"/>
    <xf numFmtId="0" fontId="3" fillId="0" borderId="0" xfId="5" applyFont="1" applyAlignment="1">
      <alignment horizontal="right"/>
    </xf>
    <xf numFmtId="3" fontId="6" fillId="0" borderId="1" xfId="5" applyNumberFormat="1" applyFont="1" applyBorder="1"/>
    <xf numFmtId="3" fontId="6" fillId="3" borderId="2" xfId="5" applyNumberFormat="1" applyFont="1" applyFill="1" applyBorder="1" applyProtection="1">
      <protection locked="0"/>
    </xf>
    <xf numFmtId="167" fontId="6" fillId="4" borderId="9" xfId="5" applyNumberFormat="1" applyFont="1" applyFill="1" applyBorder="1" applyProtection="1">
      <protection locked="0"/>
    </xf>
    <xf numFmtId="3" fontId="6" fillId="0" borderId="9" xfId="5" applyNumberFormat="1" applyFont="1" applyBorder="1" applyAlignment="1">
      <alignment horizontal="center"/>
    </xf>
    <xf numFmtId="0" fontId="3" fillId="0" borderId="48" xfId="5" applyFont="1" applyBorder="1"/>
    <xf numFmtId="0" fontId="3" fillId="0" borderId="48" xfId="5" applyFont="1" applyBorder="1" applyAlignment="1">
      <alignment horizontal="right"/>
    </xf>
    <xf numFmtId="173" fontId="3" fillId="7" borderId="0" xfId="2" applyNumberFormat="1" applyFont="1" applyFill="1" applyAlignment="1" applyProtection="1">
      <alignment horizontal="left" indent="1"/>
      <protection locked="0"/>
    </xf>
    <xf numFmtId="2" fontId="3" fillId="0" borderId="0" xfId="5" applyNumberFormat="1" applyFont="1"/>
    <xf numFmtId="170" fontId="3" fillId="0" borderId="0" xfId="5" applyNumberFormat="1" applyFont="1"/>
    <xf numFmtId="0" fontId="16" fillId="0" borderId="0" xfId="5" applyFont="1"/>
    <xf numFmtId="2" fontId="16" fillId="0" borderId="0" xfId="5" applyNumberFormat="1" applyFont="1"/>
    <xf numFmtId="3" fontId="6" fillId="0" borderId="2" xfId="5" applyNumberFormat="1" applyFont="1" applyFill="1" applyBorder="1" applyProtection="1"/>
    <xf numFmtId="0" fontId="16" fillId="0" borderId="0" xfId="5" applyFont="1" applyAlignment="1">
      <alignment horizontal="right"/>
    </xf>
    <xf numFmtId="9" fontId="16" fillId="0" borderId="0" xfId="2" applyFont="1"/>
    <xf numFmtId="0" fontId="17" fillId="0" borderId="0" xfId="5" applyFont="1"/>
    <xf numFmtId="3" fontId="9" fillId="0" borderId="13" xfId="5" applyNumberFormat="1" applyFont="1" applyBorder="1"/>
    <xf numFmtId="3" fontId="9" fillId="0" borderId="14" xfId="5" applyNumberFormat="1" applyFont="1" applyBorder="1"/>
    <xf numFmtId="3" fontId="9" fillId="2" borderId="15" xfId="5" applyNumberFormat="1" applyFont="1" applyFill="1" applyBorder="1"/>
    <xf numFmtId="3" fontId="11" fillId="2" borderId="15" xfId="5" applyNumberFormat="1" applyFont="1" applyFill="1" applyBorder="1"/>
    <xf numFmtId="3" fontId="6" fillId="0" borderId="16" xfId="5" applyNumberFormat="1" applyFont="1" applyBorder="1" applyAlignment="1">
      <alignment horizontal="center"/>
    </xf>
    <xf numFmtId="164" fontId="2" fillId="0" borderId="28" xfId="5" applyNumberFormat="1" applyFont="1" applyBorder="1"/>
    <xf numFmtId="3" fontId="2" fillId="0" borderId="23" xfId="5" applyNumberFormat="1" applyFont="1" applyBorder="1"/>
    <xf numFmtId="3" fontId="2" fillId="0" borderId="24" xfId="5" applyNumberFormat="1" applyFont="1" applyBorder="1" applyAlignment="1">
      <alignment horizontal="right"/>
    </xf>
    <xf numFmtId="3" fontId="6" fillId="0" borderId="25" xfId="5" applyNumberFormat="1" applyFont="1" applyBorder="1" applyAlignment="1">
      <alignment horizontal="center" wrapText="1"/>
    </xf>
    <xf numFmtId="3" fontId="2" fillId="2" borderId="26" xfId="5" applyNumberFormat="1" applyFont="1" applyFill="1" applyBorder="1"/>
    <xf numFmtId="3" fontId="7" fillId="0" borderId="26" xfId="5" applyNumberFormat="1" applyFont="1" applyBorder="1"/>
    <xf numFmtId="3" fontId="6" fillId="0" borderId="20" xfId="5" applyNumberFormat="1" applyFont="1" applyBorder="1"/>
    <xf numFmtId="4" fontId="6" fillId="4" borderId="11" xfId="5" applyNumberFormat="1" applyFont="1" applyFill="1" applyBorder="1" applyProtection="1">
      <protection locked="0"/>
    </xf>
    <xf numFmtId="3" fontId="6" fillId="2" borderId="49" xfId="5" applyNumberFormat="1" applyFont="1" applyFill="1" applyBorder="1"/>
    <xf numFmtId="3" fontId="3" fillId="3" borderId="21" xfId="5" applyNumberFormat="1" applyFont="1" applyFill="1" applyBorder="1" applyProtection="1">
      <protection locked="0"/>
    </xf>
    <xf numFmtId="164" fontId="6" fillId="0" borderId="4" xfId="5" applyNumberFormat="1" applyFont="1" applyBorder="1"/>
    <xf numFmtId="3" fontId="6" fillId="0" borderId="2" xfId="5" applyNumberFormat="1" applyFont="1" applyBorder="1"/>
    <xf numFmtId="3" fontId="3" fillId="0" borderId="7" xfId="5" applyNumberFormat="1" applyFont="1" applyBorder="1" applyAlignment="1">
      <alignment horizontal="center"/>
    </xf>
    <xf numFmtId="3" fontId="3" fillId="0" borderId="8" xfId="5" applyNumberFormat="1" applyFont="1" applyBorder="1" applyAlignment="1">
      <alignment horizontal="center"/>
    </xf>
    <xf numFmtId="3" fontId="3" fillId="0" borderId="17" xfId="5" applyNumberFormat="1" applyFont="1" applyFill="1" applyBorder="1" applyAlignment="1">
      <alignment horizontal="center"/>
    </xf>
    <xf numFmtId="164" fontId="6" fillId="2" borderId="4" xfId="5" applyNumberFormat="1" applyFont="1" applyFill="1" applyBorder="1"/>
    <xf numFmtId="168" fontId="6" fillId="4" borderId="9" xfId="5" applyNumberFormat="1" applyFont="1" applyFill="1" applyBorder="1" applyProtection="1">
      <protection locked="0"/>
    </xf>
    <xf numFmtId="3" fontId="6" fillId="4" borderId="2" xfId="5" applyNumberFormat="1" applyFont="1" applyFill="1" applyBorder="1" applyProtection="1">
      <protection locked="0"/>
    </xf>
    <xf numFmtId="167" fontId="3" fillId="0" borderId="17" xfId="5" applyNumberFormat="1" applyFont="1" applyFill="1" applyBorder="1" applyProtection="1"/>
    <xf numFmtId="4" fontId="3" fillId="0" borderId="17" xfId="5" applyNumberFormat="1" applyFont="1" applyFill="1" applyBorder="1" applyProtection="1"/>
    <xf numFmtId="3" fontId="6" fillId="0" borderId="10" xfId="5" applyNumberFormat="1" applyFont="1" applyBorder="1" applyAlignment="1">
      <alignment horizontal="center"/>
    </xf>
    <xf numFmtId="4" fontId="6" fillId="4" borderId="20" xfId="5" applyNumberFormat="1" applyFont="1" applyFill="1" applyBorder="1" applyProtection="1">
      <protection locked="0"/>
    </xf>
    <xf numFmtId="168" fontId="6" fillId="4" borderId="11" xfId="5" applyNumberFormat="1" applyFont="1" applyFill="1" applyBorder="1" applyProtection="1">
      <protection locked="0"/>
    </xf>
    <xf numFmtId="3" fontId="3" fillId="0" borderId="17" xfId="5" applyNumberFormat="1" applyFont="1" applyFill="1" applyBorder="1" applyProtection="1"/>
    <xf numFmtId="3" fontId="6" fillId="3" borderId="22" xfId="5" applyNumberFormat="1" applyFont="1" applyFill="1" applyBorder="1" applyProtection="1">
      <protection locked="0"/>
    </xf>
    <xf numFmtId="3" fontId="6" fillId="4" borderId="20" xfId="5" applyNumberFormat="1" applyFont="1" applyFill="1" applyBorder="1" applyProtection="1">
      <protection locked="0"/>
    </xf>
    <xf numFmtId="169" fontId="3" fillId="4" borderId="11" xfId="5" applyNumberFormat="1" applyFont="1" applyFill="1" applyBorder="1" applyProtection="1">
      <protection locked="0"/>
    </xf>
    <xf numFmtId="174" fontId="3" fillId="0" borderId="17" xfId="5" applyNumberFormat="1" applyFont="1" applyFill="1" applyBorder="1" applyProtection="1"/>
    <xf numFmtId="3" fontId="6" fillId="2" borderId="20" xfId="5" applyNumberFormat="1" applyFont="1" applyFill="1" applyBorder="1" applyAlignment="1" applyProtection="1">
      <alignment horizontal="center"/>
    </xf>
    <xf numFmtId="169" fontId="3" fillId="2" borderId="11" xfId="5" applyNumberFormat="1" applyFont="1" applyFill="1" applyBorder="1" applyProtection="1"/>
    <xf numFmtId="3" fontId="6" fillId="2" borderId="2" xfId="5" applyNumberFormat="1" applyFont="1" applyFill="1" applyBorder="1" applyProtection="1"/>
    <xf numFmtId="3" fontId="3" fillId="9" borderId="17" xfId="5" applyNumberFormat="1" applyFont="1" applyFill="1" applyBorder="1" applyProtection="1"/>
    <xf numFmtId="3" fontId="6" fillId="0" borderId="9" xfId="5" applyNumberFormat="1" applyFont="1" applyBorder="1" applyAlignment="1" applyProtection="1">
      <alignment horizontal="center"/>
    </xf>
    <xf numFmtId="164" fontId="6" fillId="9" borderId="4" xfId="5" applyNumberFormat="1" applyFont="1" applyFill="1" applyBorder="1" applyProtection="1"/>
    <xf numFmtId="3" fontId="6" fillId="2" borderId="1" xfId="5" applyNumberFormat="1" applyFont="1" applyFill="1" applyBorder="1" applyProtection="1"/>
    <xf numFmtId="3" fontId="3" fillId="0" borderId="2" xfId="5" applyNumberFormat="1" applyFont="1" applyFill="1" applyBorder="1" applyAlignment="1">
      <alignment horizontal="center"/>
    </xf>
    <xf numFmtId="0" fontId="3" fillId="2" borderId="0" xfId="5" applyFont="1" applyFill="1" applyProtection="1"/>
    <xf numFmtId="3" fontId="6" fillId="2" borderId="9" xfId="5" applyNumberFormat="1" applyFont="1" applyFill="1" applyBorder="1" applyAlignment="1" applyProtection="1">
      <alignment horizontal="center"/>
    </xf>
    <xf numFmtId="4" fontId="6" fillId="0" borderId="2" xfId="5" applyNumberFormat="1" applyFont="1" applyFill="1" applyBorder="1" applyAlignment="1" applyProtection="1">
      <alignment horizontal="center"/>
    </xf>
    <xf numFmtId="3" fontId="3" fillId="3" borderId="17" xfId="5" applyNumberFormat="1" applyFont="1" applyFill="1" applyBorder="1" applyProtection="1">
      <protection locked="0"/>
    </xf>
    <xf numFmtId="168" fontId="6" fillId="4" borderId="2" xfId="5" applyNumberFormat="1" applyFont="1" applyFill="1" applyBorder="1" applyProtection="1">
      <protection locked="0"/>
    </xf>
    <xf numFmtId="167" fontId="6" fillId="4" borderId="2" xfId="5" applyNumberFormat="1" applyFont="1" applyFill="1" applyBorder="1" applyProtection="1">
      <protection locked="0"/>
    </xf>
    <xf numFmtId="3" fontId="6" fillId="0" borderId="3" xfId="5" applyNumberFormat="1" applyFont="1" applyBorder="1"/>
    <xf numFmtId="3" fontId="6" fillId="3" borderId="18" xfId="5" applyNumberFormat="1" applyFont="1" applyFill="1" applyBorder="1" applyProtection="1">
      <protection locked="0"/>
    </xf>
    <xf numFmtId="3" fontId="3" fillId="3" borderId="19" xfId="5" applyNumberFormat="1" applyFont="1" applyFill="1" applyBorder="1" applyProtection="1">
      <protection locked="0"/>
    </xf>
    <xf numFmtId="3" fontId="6" fillId="0" borderId="79" xfId="5" applyNumberFormat="1" applyFont="1" applyBorder="1"/>
    <xf numFmtId="3" fontId="6" fillId="3" borderId="80" xfId="5" applyNumberFormat="1" applyFont="1" applyFill="1" applyBorder="1" applyProtection="1">
      <protection locked="0"/>
    </xf>
    <xf numFmtId="3" fontId="6" fillId="0" borderId="56" xfId="5" applyNumberFormat="1" applyFont="1" applyBorder="1"/>
    <xf numFmtId="3" fontId="6" fillId="0" borderId="0" xfId="5" applyNumberFormat="1" applyFont="1" applyFill="1" applyBorder="1" applyProtection="1">
      <protection locked="0"/>
    </xf>
    <xf numFmtId="9" fontId="6" fillId="4" borderId="78" xfId="2" applyFont="1" applyFill="1" applyBorder="1" applyProtection="1">
      <protection locked="0"/>
    </xf>
    <xf numFmtId="168" fontId="6" fillId="0" borderId="0" xfId="5" applyNumberFormat="1" applyFont="1" applyFill="1" applyBorder="1" applyProtection="1"/>
    <xf numFmtId="4" fontId="6" fillId="0" borderId="78" xfId="5" applyNumberFormat="1" applyFont="1" applyFill="1" applyBorder="1" applyAlignment="1" applyProtection="1">
      <alignment horizontal="center"/>
    </xf>
    <xf numFmtId="3" fontId="6" fillId="0" borderId="77" xfId="5" applyNumberFormat="1" applyFont="1" applyBorder="1" applyAlignment="1">
      <alignment horizontal="center"/>
    </xf>
    <xf numFmtId="164" fontId="6" fillId="0" borderId="57" xfId="5" applyNumberFormat="1" applyFont="1" applyBorder="1"/>
    <xf numFmtId="3" fontId="10" fillId="0" borderId="12" xfId="5" applyNumberFormat="1" applyFont="1" applyBorder="1" applyAlignment="1">
      <alignment horizontal="center"/>
    </xf>
    <xf numFmtId="164" fontId="9" fillId="0" borderId="43" xfId="5" applyNumberFormat="1" applyFont="1" applyBorder="1"/>
    <xf numFmtId="3" fontId="12" fillId="0" borderId="32" xfId="5" applyNumberFormat="1" applyFont="1" applyBorder="1"/>
    <xf numFmtId="3" fontId="12" fillId="0" borderId="33" xfId="5" applyNumberFormat="1" applyFont="1" applyBorder="1"/>
    <xf numFmtId="3" fontId="12" fillId="0" borderId="29" xfId="5" applyNumberFormat="1" applyFont="1" applyBorder="1"/>
    <xf numFmtId="3" fontId="5" fillId="0" borderId="30" xfId="5" applyNumberFormat="1" applyFont="1" applyBorder="1" applyAlignment="1">
      <alignment horizontal="center"/>
    </xf>
    <xf numFmtId="164" fontId="13" fillId="0" borderId="31" xfId="5" applyNumberFormat="1" applyFont="1" applyBorder="1"/>
    <xf numFmtId="0" fontId="2" fillId="0" borderId="0" xfId="5" applyFont="1"/>
    <xf numFmtId="164" fontId="6" fillId="0" borderId="0" xfId="5" applyNumberFormat="1" applyFont="1"/>
    <xf numFmtId="0" fontId="6" fillId="0" borderId="0" xfId="5" applyFont="1" applyAlignment="1">
      <alignment horizontal="center"/>
    </xf>
    <xf numFmtId="3" fontId="6" fillId="7" borderId="41" xfId="5" applyNumberFormat="1" applyFont="1" applyFill="1" applyBorder="1" applyProtection="1">
      <protection locked="0"/>
    </xf>
    <xf numFmtId="3" fontId="6" fillId="0" borderId="35" xfId="5" applyNumberFormat="1" applyFont="1" applyBorder="1"/>
    <xf numFmtId="4" fontId="6" fillId="4" borderId="41" xfId="5" applyNumberFormat="1" applyFont="1" applyFill="1" applyBorder="1" applyAlignment="1" applyProtection="1">
      <alignment horizontal="right"/>
      <protection locked="0"/>
    </xf>
    <xf numFmtId="3" fontId="6" fillId="0" borderId="46" xfId="5" applyNumberFormat="1" applyFont="1" applyBorder="1"/>
    <xf numFmtId="3" fontId="6" fillId="0" borderId="36" xfId="5" applyNumberFormat="1" applyFont="1" applyBorder="1" applyAlignment="1">
      <alignment horizontal="center"/>
    </xf>
    <xf numFmtId="164" fontId="6" fillId="0" borderId="37" xfId="5" applyNumberFormat="1" applyFont="1" applyBorder="1"/>
    <xf numFmtId="3" fontId="6" fillId="0" borderId="38" xfId="5" applyNumberFormat="1" applyFont="1" applyBorder="1"/>
    <xf numFmtId="3" fontId="6" fillId="0" borderId="47" xfId="5" applyNumberFormat="1" applyFont="1" applyBorder="1"/>
    <xf numFmtId="3" fontId="6" fillId="0" borderId="39" xfId="5" applyNumberFormat="1" applyFont="1" applyBorder="1" applyAlignment="1">
      <alignment horizontal="center"/>
    </xf>
    <xf numFmtId="164" fontId="6" fillId="0" borderId="40" xfId="5" applyNumberFormat="1" applyFont="1" applyBorder="1"/>
    <xf numFmtId="3" fontId="6" fillId="4" borderId="42" xfId="5" applyNumberFormat="1" applyFont="1" applyFill="1" applyBorder="1" applyAlignment="1" applyProtection="1">
      <alignment horizontal="right"/>
      <protection locked="0"/>
    </xf>
    <xf numFmtId="3" fontId="6" fillId="0" borderId="48" xfId="5" applyNumberFormat="1" applyFont="1" applyBorder="1"/>
    <xf numFmtId="164" fontId="6" fillId="0" borderId="34" xfId="5" applyNumberFormat="1" applyFont="1" applyBorder="1"/>
    <xf numFmtId="3" fontId="4" fillId="0" borderId="12" xfId="5" applyNumberFormat="1" applyFont="1" applyBorder="1" applyAlignment="1">
      <alignment horizontal="center"/>
    </xf>
    <xf numFmtId="164" fontId="4" fillId="0" borderId="43" xfId="5" applyNumberFormat="1" applyFont="1" applyBorder="1"/>
    <xf numFmtId="3" fontId="5" fillId="0" borderId="107" xfId="5" applyNumberFormat="1" applyFont="1" applyBorder="1" applyAlignment="1">
      <alignment horizontal="left"/>
    </xf>
    <xf numFmtId="3" fontId="5" fillId="0" borderId="108" xfId="5" applyNumberFormat="1" applyFont="1" applyBorder="1" applyAlignment="1">
      <alignment horizontal="left"/>
    </xf>
    <xf numFmtId="3" fontId="5" fillId="0" borderId="73" xfId="5" applyNumberFormat="1" applyFont="1" applyBorder="1" applyAlignment="1">
      <alignment horizontal="left"/>
    </xf>
    <xf numFmtId="3" fontId="5" fillId="0" borderId="70" xfId="5" applyNumberFormat="1" applyFont="1" applyBorder="1" applyAlignment="1">
      <alignment horizontal="center"/>
    </xf>
    <xf numFmtId="164" fontId="19" fillId="0" borderId="71" xfId="5" applyNumberFormat="1" applyFont="1" applyBorder="1"/>
    <xf numFmtId="3" fontId="5" fillId="0" borderId="81" xfId="5" applyNumberFormat="1" applyFont="1" applyBorder="1" applyAlignment="1">
      <alignment horizontal="left"/>
    </xf>
    <xf numFmtId="3" fontId="5" fillId="0" borderId="82" xfId="5" applyNumberFormat="1" applyFont="1" applyBorder="1" applyAlignment="1">
      <alignment horizontal="left"/>
    </xf>
    <xf numFmtId="3" fontId="5" fillId="0" borderId="109" xfId="5" applyNumberFormat="1" applyFont="1" applyBorder="1" applyAlignment="1">
      <alignment horizontal="left"/>
    </xf>
    <xf numFmtId="3" fontId="5" fillId="0" borderId="77" xfId="5" applyNumberFormat="1" applyFont="1" applyBorder="1" applyAlignment="1">
      <alignment horizontal="center"/>
    </xf>
    <xf numFmtId="164" fontId="19" fillId="0" borderId="57" xfId="5" applyNumberFormat="1" applyFont="1" applyBorder="1"/>
    <xf numFmtId="3" fontId="5" fillId="0" borderId="69" xfId="5" applyNumberFormat="1" applyFont="1" applyBorder="1" applyAlignment="1">
      <alignment horizontal="left"/>
    </xf>
    <xf numFmtId="3" fontId="5" fillId="0" borderId="48" xfId="5" applyNumberFormat="1" applyFont="1" applyBorder="1" applyAlignment="1">
      <alignment horizontal="left"/>
    </xf>
    <xf numFmtId="3" fontId="5" fillId="0" borderId="22" xfId="5" applyNumberFormat="1" applyFont="1" applyBorder="1" applyAlignment="1">
      <alignment horizontal="left"/>
    </xf>
    <xf numFmtId="3" fontId="5" fillId="0" borderId="10" xfId="5" applyNumberFormat="1" applyFont="1" applyBorder="1" applyAlignment="1">
      <alignment horizontal="center"/>
    </xf>
    <xf numFmtId="166" fontId="19" fillId="0" borderId="34" xfId="5" applyNumberFormat="1" applyFont="1" applyBorder="1"/>
    <xf numFmtId="3" fontId="5" fillId="10" borderId="44" xfId="5" applyNumberFormat="1" applyFont="1" applyFill="1" applyBorder="1" applyAlignment="1">
      <alignment horizontal="right" vertical="center"/>
    </xf>
    <xf numFmtId="8" fontId="5" fillId="10" borderId="44" xfId="5" applyNumberFormat="1" applyFont="1" applyFill="1" applyBorder="1" applyAlignment="1">
      <alignment vertical="center"/>
    </xf>
    <xf numFmtId="3" fontId="13" fillId="10" borderId="44" xfId="5" applyNumberFormat="1" applyFont="1" applyFill="1" applyBorder="1" applyAlignment="1">
      <alignment horizontal="right" vertical="center"/>
    </xf>
    <xf numFmtId="3" fontId="19" fillId="10" borderId="45" xfId="5" applyNumberFormat="1" applyFont="1" applyFill="1" applyBorder="1" applyAlignment="1">
      <alignment horizontal="center" vertical="center"/>
    </xf>
    <xf numFmtId="166" fontId="20" fillId="10" borderId="58" xfId="5" applyNumberFormat="1" applyFont="1" applyFill="1" applyBorder="1" applyAlignment="1">
      <alignment vertical="center"/>
    </xf>
    <xf numFmtId="0" fontId="6" fillId="0" borderId="0" xfId="5" applyFont="1" applyBorder="1"/>
    <xf numFmtId="0" fontId="3" fillId="0" borderId="0" xfId="5" applyFont="1" applyBorder="1"/>
    <xf numFmtId="164" fontId="2" fillId="0" borderId="0" xfId="5" applyNumberFormat="1" applyFont="1" applyBorder="1"/>
    <xf numFmtId="167" fontId="6" fillId="11" borderId="2" xfId="5" applyNumberFormat="1" applyFont="1" applyFill="1" applyBorder="1" applyProtection="1">
      <protection locked="0"/>
    </xf>
    <xf numFmtId="0" fontId="25" fillId="0" borderId="0" xfId="0" applyFont="1" applyAlignment="1">
      <alignment horizontal="left" wrapText="1"/>
    </xf>
    <xf numFmtId="164" fontId="2" fillId="0" borderId="0" xfId="0" applyNumberFormat="1" applyFont="1"/>
    <xf numFmtId="164" fontId="6" fillId="0" borderId="85" xfId="0" applyNumberFormat="1" applyFont="1" applyBorder="1"/>
    <xf numFmtId="164" fontId="13" fillId="0" borderId="110" xfId="0" applyNumberFormat="1" applyFont="1" applyBorder="1"/>
    <xf numFmtId="173" fontId="6" fillId="4" borderId="9" xfId="1" applyNumberFormat="1" applyFont="1" applyFill="1" applyBorder="1" applyProtection="1">
      <protection locked="0"/>
    </xf>
    <xf numFmtId="3" fontId="6" fillId="9" borderId="21" xfId="0" applyNumberFormat="1" applyFont="1" applyFill="1" applyBorder="1" applyProtection="1"/>
    <xf numFmtId="3" fontId="6" fillId="9" borderId="2" xfId="0" applyNumberFormat="1" applyFont="1" applyFill="1" applyBorder="1" applyProtection="1"/>
    <xf numFmtId="167" fontId="6" fillId="9" borderId="9" xfId="0" applyNumberFormat="1" applyFont="1" applyFill="1" applyBorder="1" applyProtection="1"/>
    <xf numFmtId="4" fontId="6" fillId="9" borderId="11" xfId="0" applyNumberFormat="1" applyFont="1" applyFill="1" applyBorder="1" applyProtection="1"/>
    <xf numFmtId="4" fontId="6" fillId="9" borderId="21" xfId="0" applyNumberFormat="1" applyFont="1" applyFill="1" applyBorder="1" applyProtection="1"/>
    <xf numFmtId="3" fontId="6" fillId="9" borderId="9" xfId="0" applyNumberFormat="1" applyFont="1" applyFill="1" applyBorder="1" applyAlignment="1" applyProtection="1">
      <alignment horizontal="center"/>
    </xf>
    <xf numFmtId="164" fontId="6" fillId="9" borderId="5" xfId="0" applyNumberFormat="1" applyFont="1" applyFill="1" applyBorder="1" applyProtection="1"/>
    <xf numFmtId="3" fontId="6" fillId="12" borderId="21" xfId="0" applyNumberFormat="1" applyFont="1" applyFill="1" applyBorder="1" applyProtection="1">
      <protection locked="0"/>
    </xf>
    <xf numFmtId="3" fontId="6" fillId="0" borderId="11" xfId="0" applyNumberFormat="1" applyFont="1" applyFill="1" applyBorder="1" applyProtection="1"/>
    <xf numFmtId="4" fontId="6" fillId="4" borderId="111" xfId="0" applyNumberFormat="1" applyFont="1" applyFill="1" applyBorder="1" applyProtection="1">
      <protection locked="0"/>
    </xf>
    <xf numFmtId="4" fontId="6" fillId="4" borderId="10" xfId="0" applyNumberFormat="1" applyFont="1" applyFill="1" applyBorder="1" applyProtection="1">
      <protection locked="0"/>
    </xf>
    <xf numFmtId="0" fontId="3" fillId="0" borderId="104" xfId="0" applyFont="1" applyBorder="1"/>
    <xf numFmtId="0" fontId="6" fillId="0" borderId="103" xfId="0" applyFont="1" applyBorder="1"/>
    <xf numFmtId="0" fontId="17" fillId="0" borderId="0" xfId="0" applyFont="1" applyBorder="1"/>
    <xf numFmtId="0" fontId="6" fillId="0" borderId="22" xfId="0" applyFont="1" applyBorder="1"/>
    <xf numFmtId="170" fontId="3" fillId="0" borderId="77" xfId="0" applyNumberFormat="1" applyFont="1" applyBorder="1" applyAlignment="1" applyProtection="1">
      <alignment horizontal="center"/>
    </xf>
    <xf numFmtId="0" fontId="3" fillId="0" borderId="0" xfId="0" applyFont="1" applyProtection="1"/>
    <xf numFmtId="173" fontId="3" fillId="13" borderId="50" xfId="1" applyNumberFormat="1" applyFont="1" applyFill="1" applyBorder="1" applyProtection="1"/>
    <xf numFmtId="0" fontId="16" fillId="0" borderId="0" xfId="0" applyFont="1" applyBorder="1" applyProtection="1"/>
    <xf numFmtId="0" fontId="6" fillId="0" borderId="0" xfId="0" applyFont="1" applyBorder="1" applyProtection="1"/>
    <xf numFmtId="0" fontId="6" fillId="0" borderId="0" xfId="0" applyFont="1" applyProtection="1"/>
    <xf numFmtId="170" fontId="3" fillId="0" borderId="10" xfId="0" applyNumberFormat="1" applyFont="1" applyBorder="1" applyAlignment="1" applyProtection="1">
      <alignment horizontal="center"/>
    </xf>
    <xf numFmtId="173" fontId="3" fillId="13" borderId="104" xfId="1" applyNumberFormat="1" applyFont="1" applyFill="1" applyBorder="1" applyProtection="1"/>
    <xf numFmtId="0" fontId="16" fillId="0" borderId="48" xfId="0" applyFont="1" applyBorder="1" applyProtection="1"/>
    <xf numFmtId="0" fontId="6" fillId="0" borderId="48" xfId="0" applyFont="1" applyBorder="1" applyProtection="1"/>
    <xf numFmtId="4" fontId="6" fillId="14" borderId="11" xfId="0" applyNumberFormat="1" applyFont="1" applyFill="1" applyBorder="1" applyProtection="1"/>
    <xf numFmtId="164" fontId="6" fillId="0" borderId="5" xfId="0" applyNumberFormat="1" applyFont="1" applyBorder="1" applyProtection="1"/>
    <xf numFmtId="3" fontId="6" fillId="0" borderId="16" xfId="0" applyNumberFormat="1" applyFont="1" applyBorder="1" applyAlignment="1" applyProtection="1">
      <alignment horizontal="center"/>
    </xf>
    <xf numFmtId="164" fontId="2" fillId="0" borderId="28" xfId="0" applyNumberFormat="1" applyFont="1" applyBorder="1" applyProtection="1"/>
    <xf numFmtId="167" fontId="6" fillId="0" borderId="17" xfId="0" applyNumberFormat="1" applyFont="1" applyFill="1" applyBorder="1" applyAlignment="1" applyProtection="1">
      <alignment horizontal="center"/>
    </xf>
    <xf numFmtId="4" fontId="6" fillId="0" borderId="17" xfId="0" applyNumberFormat="1" applyFont="1" applyFill="1" applyBorder="1" applyAlignment="1" applyProtection="1">
      <alignment horizontal="center"/>
    </xf>
    <xf numFmtId="3" fontId="6" fillId="0" borderId="17" xfId="0" applyNumberFormat="1" applyFont="1" applyFill="1" applyBorder="1" applyAlignment="1" applyProtection="1">
      <alignment horizontal="center"/>
    </xf>
    <xf numFmtId="167" fontId="6" fillId="0" borderId="21" xfId="0" applyNumberFormat="1" applyFont="1" applyFill="1" applyBorder="1" applyAlignment="1" applyProtection="1">
      <alignment horizontal="center"/>
    </xf>
    <xf numFmtId="3" fontId="6" fillId="0" borderId="112" xfId="0" applyNumberFormat="1" applyFont="1" applyBorder="1"/>
    <xf numFmtId="3" fontId="6" fillId="3" borderId="113" xfId="0" applyNumberFormat="1" applyFont="1" applyFill="1" applyBorder="1" applyProtection="1">
      <protection locked="0"/>
    </xf>
    <xf numFmtId="4" fontId="6" fillId="4" borderId="113" xfId="0" applyNumberFormat="1" applyFont="1" applyFill="1" applyBorder="1" applyProtection="1">
      <protection locked="0"/>
    </xf>
    <xf numFmtId="168" fontId="6" fillId="4" borderId="78" xfId="0" applyNumberFormat="1" applyFont="1" applyFill="1" applyBorder="1" applyProtection="1">
      <protection locked="0"/>
    </xf>
    <xf numFmtId="3" fontId="6" fillId="4" borderId="113" xfId="0" applyNumberFormat="1" applyFont="1" applyFill="1" applyBorder="1" applyProtection="1">
      <protection locked="0"/>
    </xf>
    <xf numFmtId="167" fontId="6" fillId="0" borderId="114" xfId="0" applyNumberFormat="1" applyFont="1" applyFill="1" applyBorder="1" applyAlignment="1" applyProtection="1">
      <alignment horizontal="center"/>
    </xf>
    <xf numFmtId="3" fontId="6" fillId="0" borderId="78" xfId="0" applyNumberFormat="1" applyFont="1" applyBorder="1" applyAlignment="1">
      <alignment horizontal="center"/>
    </xf>
    <xf numFmtId="164" fontId="6" fillId="0" borderId="115" xfId="0" applyNumberFormat="1" applyFont="1" applyBorder="1"/>
    <xf numFmtId="3" fontId="6" fillId="9" borderId="1" xfId="0" applyNumberFormat="1" applyFont="1" applyFill="1" applyBorder="1"/>
    <xf numFmtId="3" fontId="6" fillId="9" borderId="2" xfId="0" applyNumberFormat="1" applyFont="1" applyFill="1" applyBorder="1"/>
    <xf numFmtId="166" fontId="4" fillId="0" borderId="34" xfId="0" applyNumberFormat="1" applyFont="1" applyBorder="1" applyAlignment="1"/>
    <xf numFmtId="164" fontId="5" fillId="0" borderId="85" xfId="0" applyNumberFormat="1" applyFont="1" applyBorder="1"/>
    <xf numFmtId="173" fontId="6" fillId="3" borderId="21" xfId="1" applyNumberFormat="1" applyFont="1" applyFill="1" applyBorder="1" applyProtection="1">
      <protection locked="0"/>
    </xf>
    <xf numFmtId="0" fontId="3" fillId="14" borderId="44" xfId="0" applyFont="1" applyFill="1" applyBorder="1" applyAlignment="1" applyProtection="1">
      <alignment horizontal="center" vertical="center" wrapText="1"/>
    </xf>
    <xf numFmtId="3" fontId="6" fillId="0" borderId="77" xfId="0" applyNumberFormat="1" applyFont="1" applyBorder="1" applyAlignment="1">
      <alignment horizontal="center" wrapText="1"/>
    </xf>
    <xf numFmtId="3" fontId="3" fillId="0" borderId="103" xfId="0" applyNumberFormat="1" applyFont="1" applyBorder="1" applyAlignment="1">
      <alignment horizontal="center" wrapText="1"/>
    </xf>
    <xf numFmtId="3" fontId="2" fillId="0" borderId="13" xfId="5" applyNumberFormat="1" applyFont="1" applyBorder="1" applyAlignment="1">
      <alignment horizontal="left" wrapText="1"/>
    </xf>
    <xf numFmtId="3" fontId="2" fillId="0" borderId="15" xfId="5" applyNumberFormat="1" applyFont="1" applyBorder="1" applyAlignment="1">
      <alignment horizontal="left" wrapText="1"/>
    </xf>
    <xf numFmtId="3" fontId="2" fillId="0" borderId="14" xfId="5" applyNumberFormat="1" applyFont="1" applyBorder="1" applyAlignment="1">
      <alignment horizontal="left" wrapText="1"/>
    </xf>
    <xf numFmtId="0" fontId="2" fillId="0" borderId="64" xfId="5" applyFont="1" applyFill="1" applyBorder="1" applyAlignment="1" applyProtection="1">
      <alignment horizontal="center" vertical="center" wrapText="1"/>
    </xf>
    <xf numFmtId="0" fontId="2" fillId="0" borderId="28" xfId="5" applyFont="1" applyFill="1" applyBorder="1" applyAlignment="1" applyProtection="1">
      <alignment horizontal="center" vertical="center" wrapText="1"/>
    </xf>
    <xf numFmtId="3" fontId="6" fillId="2" borderId="20" xfId="0" applyNumberFormat="1" applyFont="1" applyFill="1" applyBorder="1" applyProtection="1"/>
    <xf numFmtId="3" fontId="6" fillId="0" borderId="69" xfId="0" applyNumberFormat="1" applyFont="1" applyBorder="1"/>
    <xf numFmtId="3" fontId="6" fillId="4" borderId="22" xfId="0" applyNumberFormat="1" applyFont="1" applyFill="1" applyBorder="1" applyProtection="1">
      <protection locked="0"/>
    </xf>
    <xf numFmtId="174" fontId="6" fillId="0" borderId="114" xfId="0" applyNumberFormat="1" applyFont="1" applyFill="1" applyBorder="1" applyAlignment="1" applyProtection="1">
      <alignment horizontal="center"/>
    </xf>
    <xf numFmtId="3" fontId="6" fillId="2" borderId="6" xfId="0" applyNumberFormat="1" applyFont="1" applyFill="1" applyBorder="1" applyProtection="1"/>
    <xf numFmtId="3" fontId="3" fillId="0" borderId="20" xfId="0" applyNumberFormat="1" applyFont="1" applyFill="1" applyBorder="1" applyAlignment="1">
      <alignment horizontal="center"/>
    </xf>
    <xf numFmtId="3" fontId="6" fillId="2" borderId="11" xfId="0" applyNumberFormat="1" applyFont="1" applyFill="1" applyBorder="1" applyAlignment="1" applyProtection="1">
      <alignment horizontal="center"/>
    </xf>
    <xf numFmtId="3" fontId="6" fillId="0" borderId="116" xfId="0" applyNumberFormat="1" applyFont="1" applyBorder="1"/>
    <xf numFmtId="3" fontId="6" fillId="0" borderId="117" xfId="0" applyNumberFormat="1" applyFont="1" applyBorder="1"/>
    <xf numFmtId="3" fontId="6" fillId="2" borderId="117" xfId="0" applyNumberFormat="1" applyFont="1" applyFill="1" applyBorder="1" applyAlignment="1" applyProtection="1">
      <alignment horizontal="center"/>
    </xf>
    <xf numFmtId="169" fontId="3" fillId="2" borderId="49" xfId="0" applyNumberFormat="1" applyFont="1" applyFill="1" applyBorder="1" applyProtection="1"/>
    <xf numFmtId="3" fontId="6" fillId="2" borderId="117" xfId="0" applyNumberFormat="1" applyFont="1" applyFill="1" applyBorder="1" applyProtection="1"/>
    <xf numFmtId="3" fontId="3" fillId="2" borderId="118" xfId="0" applyNumberFormat="1" applyFont="1" applyFill="1" applyBorder="1" applyProtection="1"/>
    <xf numFmtId="3" fontId="6" fillId="0" borderId="49" xfId="0" applyNumberFormat="1" applyFont="1" applyBorder="1" applyAlignment="1" applyProtection="1">
      <alignment horizontal="center"/>
    </xf>
    <xf numFmtId="164" fontId="6" fillId="4" borderId="119" xfId="0" applyNumberFormat="1" applyFont="1" applyFill="1" applyBorder="1" applyProtection="1">
      <protection locked="0"/>
    </xf>
    <xf numFmtId="0" fontId="3" fillId="14" borderId="0" xfId="0" applyFont="1" applyFill="1" applyProtection="1"/>
    <xf numFmtId="164" fontId="6" fillId="4" borderId="42" xfId="0" applyNumberFormat="1" applyFont="1" applyFill="1" applyBorder="1" applyAlignment="1" applyProtection="1">
      <protection locked="0"/>
    </xf>
    <xf numFmtId="164" fontId="6" fillId="4" borderId="42" xfId="5" applyNumberFormat="1" applyFont="1" applyFill="1" applyBorder="1" applyAlignment="1" applyProtection="1">
      <protection locked="0"/>
    </xf>
    <xf numFmtId="165" fontId="6" fillId="4" borderId="42" xfId="0" applyNumberFormat="1" applyFont="1" applyFill="1" applyBorder="1" applyProtection="1">
      <protection locked="0"/>
    </xf>
    <xf numFmtId="165" fontId="6" fillId="7" borderId="42" xfId="5" applyNumberFormat="1" applyFont="1" applyFill="1" applyBorder="1" applyProtection="1">
      <protection locked="0"/>
    </xf>
    <xf numFmtId="177" fontId="6" fillId="4" borderId="42" xfId="1" applyNumberFormat="1" applyFont="1" applyFill="1" applyBorder="1" applyAlignment="1" applyProtection="1">
      <alignment horizontal="right"/>
      <protection locked="0"/>
    </xf>
    <xf numFmtId="0" fontId="32" fillId="15" borderId="27" xfId="0" applyFont="1" applyFill="1" applyBorder="1" applyAlignment="1" applyProtection="1">
      <alignment horizontal="center" vertical="center"/>
    </xf>
    <xf numFmtId="4" fontId="6" fillId="16" borderId="21" xfId="0" applyNumberFormat="1" applyFont="1" applyFill="1" applyBorder="1" applyProtection="1">
      <protection locked="0"/>
    </xf>
    <xf numFmtId="171" fontId="37" fillId="4" borderId="0" xfId="5" applyNumberFormat="1" applyFont="1" applyFill="1" applyBorder="1" applyAlignment="1" applyProtection="1">
      <alignment horizontal="right" vertical="center" wrapText="1"/>
      <protection locked="0"/>
    </xf>
    <xf numFmtId="0" fontId="2" fillId="0" borderId="0" xfId="5" applyFont="1" applyFill="1" applyBorder="1" applyAlignment="1" applyProtection="1">
      <alignment horizontal="left" vertical="center" wrapText="1"/>
    </xf>
    <xf numFmtId="3" fontId="2" fillId="0" borderId="56" xfId="0" applyNumberFormat="1" applyFont="1" applyBorder="1" applyAlignment="1">
      <alignment horizontal="left" wrapText="1"/>
    </xf>
    <xf numFmtId="3" fontId="2" fillId="0" borderId="0" xfId="0" applyNumberFormat="1" applyFont="1" applyBorder="1" applyAlignment="1">
      <alignment horizontal="left" wrapText="1"/>
    </xf>
    <xf numFmtId="3" fontId="2" fillId="0" borderId="103" xfId="0" applyNumberFormat="1" applyFont="1" applyBorder="1" applyAlignment="1">
      <alignment horizontal="left" wrapText="1"/>
    </xf>
    <xf numFmtId="171" fontId="32" fillId="4" borderId="0" xfId="0"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horizontal="left" vertical="center" wrapText="1"/>
    </xf>
    <xf numFmtId="0" fontId="2" fillId="0" borderId="50" xfId="0" applyFont="1" applyFill="1" applyBorder="1" applyAlignment="1" applyProtection="1">
      <alignment horizontal="center" vertical="center" wrapText="1"/>
    </xf>
    <xf numFmtId="0" fontId="2" fillId="0" borderId="57" xfId="0" applyFont="1" applyFill="1" applyBorder="1" applyAlignment="1" applyProtection="1">
      <alignment horizontal="center" vertical="center" wrapText="1"/>
    </xf>
    <xf numFmtId="3" fontId="2" fillId="0" borderId="56" xfId="0" applyNumberFormat="1" applyFont="1" applyBorder="1" applyAlignment="1">
      <alignment vertical="center"/>
    </xf>
    <xf numFmtId="3" fontId="2" fillId="0" borderId="103" xfId="0" applyNumberFormat="1" applyFont="1" applyBorder="1"/>
    <xf numFmtId="0" fontId="2" fillId="0" borderId="0" xfId="0" applyFont="1" applyFill="1" applyBorder="1" applyAlignment="1" applyProtection="1">
      <alignment horizontal="right" vertical="center" wrapText="1"/>
    </xf>
    <xf numFmtId="0" fontId="2" fillId="0" borderId="103" xfId="0" applyFont="1" applyFill="1" applyBorder="1" applyAlignment="1" applyProtection="1">
      <alignment horizontal="center" vertical="center" wrapText="1"/>
    </xf>
    <xf numFmtId="9" fontId="2" fillId="0" borderId="103" xfId="1" applyFont="1" applyFill="1" applyBorder="1" applyAlignment="1" applyProtection="1">
      <alignment horizontal="center" vertical="center" wrapText="1"/>
    </xf>
    <xf numFmtId="9" fontId="32" fillId="4" borderId="57" xfId="1" applyFont="1" applyFill="1" applyBorder="1" applyAlignment="1" applyProtection="1">
      <alignment horizontal="center" vertical="center" wrapText="1"/>
      <protection locked="0"/>
    </xf>
    <xf numFmtId="171" fontId="3" fillId="0" borderId="77" xfId="0" applyNumberFormat="1" applyFont="1" applyFill="1" applyBorder="1" applyAlignment="1" applyProtection="1">
      <alignment horizontal="center" vertical="center" wrapText="1"/>
    </xf>
    <xf numFmtId="0" fontId="3" fillId="14" borderId="0" xfId="0" applyFont="1" applyFill="1" applyBorder="1" applyAlignment="1" applyProtection="1">
      <alignment horizontal="center" vertical="center" wrapText="1"/>
    </xf>
    <xf numFmtId="0" fontId="3" fillId="0" borderId="77" xfId="0" applyFont="1" applyBorder="1" applyAlignment="1">
      <alignment horizontal="center" wrapText="1"/>
    </xf>
    <xf numFmtId="0" fontId="3" fillId="0" borderId="50" xfId="0" applyFont="1" applyBorder="1"/>
    <xf numFmtId="178" fontId="3" fillId="7" borderId="21" xfId="6" applyNumberFormat="1" applyFont="1" applyFill="1" applyBorder="1" applyAlignment="1" applyProtection="1">
      <alignment horizontal="center"/>
      <protection locked="0"/>
    </xf>
    <xf numFmtId="4" fontId="6" fillId="7" borderId="11" xfId="5" applyNumberFormat="1" applyFont="1" applyFill="1" applyBorder="1" applyProtection="1">
      <protection locked="0"/>
    </xf>
    <xf numFmtId="4" fontId="6" fillId="7" borderId="10" xfId="5" applyNumberFormat="1" applyFont="1" applyFill="1" applyBorder="1" applyProtection="1">
      <protection locked="0"/>
    </xf>
    <xf numFmtId="173" fontId="25" fillId="0" borderId="0" xfId="1" applyNumberFormat="1" applyFont="1"/>
    <xf numFmtId="0" fontId="6" fillId="0" borderId="0" xfId="6" applyFont="1"/>
    <xf numFmtId="179" fontId="25" fillId="0" borderId="0" xfId="6" applyNumberFormat="1" applyFont="1" applyAlignment="1">
      <alignment horizontal="left"/>
    </xf>
    <xf numFmtId="3" fontId="2" fillId="0" borderId="120" xfId="5" applyNumberFormat="1" applyFont="1" applyBorder="1" applyAlignment="1">
      <alignment horizontal="left" wrapText="1"/>
    </xf>
    <xf numFmtId="3" fontId="2" fillId="0" borderId="121" xfId="5" applyNumberFormat="1" applyFont="1" applyBorder="1" applyAlignment="1">
      <alignment horizontal="left" wrapText="1"/>
    </xf>
    <xf numFmtId="3" fontId="2" fillId="0" borderId="102" xfId="5" applyNumberFormat="1" applyFont="1" applyBorder="1" applyAlignment="1">
      <alignment horizontal="left" wrapText="1"/>
    </xf>
    <xf numFmtId="0" fontId="2" fillId="0" borderId="101" xfId="5" applyFont="1" applyFill="1" applyBorder="1" applyAlignment="1" applyProtection="1">
      <alignment horizontal="center" vertical="center" wrapText="1"/>
    </xf>
    <xf numFmtId="0" fontId="2" fillId="0" borderId="122" xfId="5" applyFont="1" applyFill="1" applyBorder="1" applyAlignment="1" applyProtection="1">
      <alignment horizontal="center" vertical="center" wrapText="1"/>
    </xf>
    <xf numFmtId="0" fontId="3" fillId="0" borderId="16" xfId="5" applyFont="1" applyFill="1" applyBorder="1" applyAlignment="1" applyProtection="1">
      <alignment horizontal="left" vertical="center" wrapText="1"/>
    </xf>
    <xf numFmtId="0" fontId="3" fillId="0" borderId="15" xfId="5" applyFont="1" applyFill="1" applyBorder="1" applyAlignment="1" applyProtection="1">
      <alignment horizontal="left" vertical="center" wrapText="1"/>
    </xf>
    <xf numFmtId="180" fontId="3" fillId="3" borderId="17" xfId="5" applyNumberFormat="1" applyFont="1" applyFill="1" applyBorder="1" applyProtection="1">
      <protection locked="0"/>
    </xf>
    <xf numFmtId="0" fontId="3" fillId="0" borderId="0" xfId="5" applyFont="1" applyAlignment="1">
      <alignment wrapText="1"/>
    </xf>
    <xf numFmtId="0" fontId="38" fillId="0" borderId="0" xfId="0" applyFont="1"/>
    <xf numFmtId="0" fontId="38" fillId="0" borderId="48" xfId="0" applyFont="1" applyBorder="1"/>
    <xf numFmtId="0" fontId="3" fillId="0" borderId="118" xfId="0" applyFont="1" applyBorder="1"/>
    <xf numFmtId="0" fontId="38" fillId="0" borderId="118" xfId="0" applyFont="1" applyBorder="1"/>
    <xf numFmtId="0" fontId="3" fillId="0" borderId="123" xfId="0" applyFont="1" applyBorder="1"/>
    <xf numFmtId="0" fontId="39" fillId="0" borderId="0" xfId="0" applyFont="1"/>
    <xf numFmtId="3" fontId="2" fillId="7" borderId="105" xfId="0" applyNumberFormat="1" applyFont="1" applyFill="1" applyBorder="1" applyAlignment="1" applyProtection="1">
      <alignment horizontal="center" vertical="center"/>
      <protection locked="0"/>
    </xf>
    <xf numFmtId="175" fontId="6" fillId="7" borderId="77" xfId="0" applyNumberFormat="1" applyFont="1" applyFill="1" applyBorder="1" applyAlignment="1" applyProtection="1">
      <alignment horizontal="right" vertical="center"/>
      <protection locked="0"/>
    </xf>
    <xf numFmtId="3" fontId="2" fillId="0" borderId="56" xfId="5" applyNumberFormat="1" applyFont="1" applyBorder="1" applyAlignment="1">
      <alignment horizontal="left" wrapText="1"/>
    </xf>
    <xf numFmtId="3" fontId="2" fillId="0" borderId="0" xfId="5" applyNumberFormat="1" applyFont="1" applyBorder="1" applyAlignment="1">
      <alignment horizontal="left" wrapText="1"/>
    </xf>
    <xf numFmtId="3" fontId="2" fillId="0" borderId="103" xfId="5" applyNumberFormat="1" applyFont="1" applyBorder="1" applyAlignment="1">
      <alignment horizontal="left" wrapText="1"/>
    </xf>
    <xf numFmtId="0" fontId="2" fillId="0" borderId="50" xfId="5" applyFont="1" applyFill="1" applyBorder="1" applyAlignment="1" applyProtection="1">
      <alignment horizontal="center" vertical="center" wrapText="1"/>
    </xf>
    <xf numFmtId="0" fontId="2" fillId="0" borderId="57" xfId="5" applyFont="1" applyFill="1" applyBorder="1" applyAlignment="1" applyProtection="1">
      <alignment horizontal="center" vertical="center" wrapText="1"/>
    </xf>
    <xf numFmtId="171" fontId="37" fillId="4" borderId="118" xfId="5" applyNumberFormat="1" applyFont="1" applyFill="1" applyBorder="1" applyAlignment="1" applyProtection="1">
      <alignment horizontal="right" vertical="center" wrapText="1"/>
      <protection locked="0"/>
    </xf>
    <xf numFmtId="0" fontId="2" fillId="0" borderId="118" xfId="5" applyFont="1" applyFill="1" applyBorder="1" applyAlignment="1" applyProtection="1">
      <alignment horizontal="left" vertical="center" wrapText="1"/>
    </xf>
    <xf numFmtId="169" fontId="6" fillId="4" borderId="10" xfId="0" applyNumberFormat="1" applyFont="1" applyFill="1" applyBorder="1" applyProtection="1">
      <protection locked="0"/>
    </xf>
    <xf numFmtId="173" fontId="8" fillId="7" borderId="49" xfId="1" applyNumberFormat="1" applyFont="1" applyFill="1" applyBorder="1" applyAlignment="1">
      <alignment horizontal="center"/>
    </xf>
    <xf numFmtId="0" fontId="7" fillId="0" borderId="49" xfId="0" applyFont="1" applyBorder="1" applyAlignment="1">
      <alignment horizontal="center"/>
    </xf>
    <xf numFmtId="0" fontId="7" fillId="0" borderId="49" xfId="0" applyFont="1" applyBorder="1"/>
    <xf numFmtId="173" fontId="8" fillId="15" borderId="49" xfId="1" applyNumberFormat="1" applyFont="1" applyFill="1" applyBorder="1"/>
    <xf numFmtId="177" fontId="6" fillId="0" borderId="42" xfId="1" applyNumberFormat="1" applyFont="1" applyFill="1" applyBorder="1" applyAlignment="1" applyProtection="1">
      <alignment horizontal="right"/>
    </xf>
    <xf numFmtId="3" fontId="6" fillId="3" borderId="21" xfId="0" applyNumberFormat="1" applyFont="1" applyFill="1" applyBorder="1" applyProtection="1">
      <protection locked="0"/>
    </xf>
    <xf numFmtId="167" fontId="3" fillId="0" borderId="21" xfId="0" applyNumberFormat="1" applyFont="1" applyFill="1" applyBorder="1" applyProtection="1"/>
    <xf numFmtId="167" fontId="3" fillId="0" borderId="114" xfId="0" applyNumberFormat="1" applyFont="1" applyFill="1" applyBorder="1" applyProtection="1"/>
    <xf numFmtId="164" fontId="8" fillId="0" borderId="113" xfId="0" applyNumberFormat="1" applyFont="1" applyBorder="1"/>
    <xf numFmtId="164" fontId="8" fillId="0" borderId="115" xfId="0" applyNumberFormat="1" applyFont="1" applyBorder="1"/>
    <xf numFmtId="167" fontId="3" fillId="0" borderId="21" xfId="5" applyNumberFormat="1" applyFont="1" applyFill="1" applyBorder="1" applyProtection="1"/>
    <xf numFmtId="3" fontId="6" fillId="0" borderId="112" xfId="5" applyNumberFormat="1" applyFont="1" applyBorder="1"/>
    <xf numFmtId="167" fontId="3" fillId="0" borderId="114" xfId="5" applyNumberFormat="1" applyFont="1" applyFill="1" applyBorder="1" applyProtection="1"/>
    <xf numFmtId="3" fontId="6" fillId="0" borderId="78" xfId="5" applyNumberFormat="1" applyFont="1" applyBorder="1" applyAlignment="1">
      <alignment horizontal="center"/>
    </xf>
    <xf numFmtId="164" fontId="6" fillId="0" borderId="115" xfId="5" applyNumberFormat="1" applyFont="1" applyBorder="1"/>
    <xf numFmtId="0" fontId="6" fillId="0" borderId="0" xfId="5" applyFont="1" applyAlignment="1">
      <alignment horizontal="right"/>
    </xf>
    <xf numFmtId="164" fontId="2" fillId="0" borderId="0" xfId="5" applyNumberFormat="1" applyFont="1"/>
    <xf numFmtId="167" fontId="3" fillId="0" borderId="17" xfId="0" applyNumberFormat="1" applyFont="1" applyFill="1" applyBorder="1" applyAlignment="1" applyProtection="1">
      <alignment horizontal="center"/>
    </xf>
    <xf numFmtId="167" fontId="3" fillId="0" borderId="114" xfId="0" applyNumberFormat="1" applyFont="1" applyFill="1" applyBorder="1" applyAlignment="1" applyProtection="1">
      <alignment horizontal="center"/>
    </xf>
    <xf numFmtId="167" fontId="3" fillId="0" borderId="21" xfId="0" applyNumberFormat="1" applyFont="1" applyFill="1" applyBorder="1" applyAlignment="1" applyProtection="1">
      <alignment horizontal="center"/>
    </xf>
    <xf numFmtId="3" fontId="6" fillId="0" borderId="95" xfId="5" applyNumberFormat="1" applyFont="1" applyBorder="1"/>
    <xf numFmtId="3" fontId="6" fillId="0" borderId="94" xfId="5" applyNumberFormat="1" applyFont="1" applyBorder="1"/>
    <xf numFmtId="3" fontId="6" fillId="0" borderId="89" xfId="5" applyNumberFormat="1" applyFont="1" applyBorder="1" applyAlignment="1">
      <alignment horizontal="center"/>
    </xf>
    <xf numFmtId="164" fontId="6" fillId="0" borderId="85" xfId="5" applyNumberFormat="1" applyFont="1" applyBorder="1"/>
    <xf numFmtId="3" fontId="6" fillId="0" borderId="124" xfId="5" applyNumberFormat="1" applyFont="1" applyBorder="1" applyAlignment="1"/>
    <xf numFmtId="9" fontId="6" fillId="4" borderId="41" xfId="1" applyFont="1" applyFill="1" applyBorder="1" applyAlignment="1" applyProtection="1">
      <alignment horizontal="center"/>
      <protection locked="0"/>
    </xf>
    <xf numFmtId="3" fontId="6" fillId="7" borderId="36" xfId="5" applyNumberFormat="1" applyFont="1" applyFill="1" applyBorder="1" applyAlignment="1" applyProtection="1">
      <alignment horizontal="left" indent="4"/>
      <protection locked="0"/>
    </xf>
    <xf numFmtId="164" fontId="6" fillId="9" borderId="37" xfId="5" applyNumberFormat="1" applyFont="1" applyFill="1" applyBorder="1"/>
    <xf numFmtId="3" fontId="6" fillId="9" borderId="36" xfId="5" applyNumberFormat="1" applyFont="1" applyFill="1" applyBorder="1" applyAlignment="1">
      <alignment horizontal="center"/>
    </xf>
    <xf numFmtId="168" fontId="6" fillId="12" borderId="2" xfId="5" applyNumberFormat="1" applyFont="1" applyFill="1" applyBorder="1" applyProtection="1">
      <protection locked="0"/>
    </xf>
    <xf numFmtId="0" fontId="6" fillId="0" borderId="46" xfId="5" applyFont="1" applyBorder="1"/>
    <xf numFmtId="0" fontId="6" fillId="0" borderId="46" xfId="5" applyFont="1" applyBorder="1" applyAlignment="1">
      <alignment horizontal="right"/>
    </xf>
    <xf numFmtId="173" fontId="8" fillId="7" borderId="49" xfId="1" applyNumberFormat="1" applyFont="1" applyFill="1" applyBorder="1" applyAlignment="1" applyProtection="1">
      <alignment horizontal="center"/>
      <protection locked="0"/>
    </xf>
    <xf numFmtId="173" fontId="8" fillId="15" borderId="49" xfId="1" applyNumberFormat="1" applyFont="1" applyFill="1" applyBorder="1" applyProtection="1">
      <protection locked="0"/>
    </xf>
    <xf numFmtId="3" fontId="6" fillId="12" borderId="2" xfId="0" applyNumberFormat="1" applyFont="1" applyFill="1" applyBorder="1" applyProtection="1">
      <protection locked="0"/>
    </xf>
    <xf numFmtId="3" fontId="6" fillId="0" borderId="113" xfId="0" applyNumberFormat="1" applyFont="1" applyFill="1" applyBorder="1" applyProtection="1"/>
    <xf numFmtId="3" fontId="6" fillId="0" borderId="6" xfId="6" applyNumberFormat="1" applyFont="1" applyBorder="1"/>
    <xf numFmtId="3" fontId="3" fillId="16" borderId="20" xfId="6" applyNumberFormat="1" applyFont="1" applyFill="1" applyBorder="1" applyProtection="1">
      <protection locked="0"/>
    </xf>
    <xf numFmtId="3" fontId="6" fillId="4" borderId="11" xfId="6" applyNumberFormat="1" applyFont="1" applyFill="1" applyBorder="1" applyProtection="1">
      <protection locked="0"/>
    </xf>
    <xf numFmtId="4" fontId="6" fillId="0" borderId="11" xfId="6" applyNumberFormat="1" applyFont="1" applyFill="1" applyBorder="1" applyProtection="1"/>
    <xf numFmtId="4" fontId="6" fillId="7" borderId="11" xfId="6" applyNumberFormat="1" applyFont="1" applyFill="1" applyBorder="1" applyProtection="1">
      <protection locked="0"/>
    </xf>
    <xf numFmtId="3" fontId="6" fillId="0" borderId="1" xfId="6" applyNumberFormat="1" applyFont="1" applyBorder="1"/>
    <xf numFmtId="4" fontId="6" fillId="7" borderId="9" xfId="6" applyNumberFormat="1" applyFont="1" applyFill="1" applyBorder="1" applyProtection="1">
      <protection locked="0"/>
    </xf>
    <xf numFmtId="3" fontId="6" fillId="0" borderId="112" xfId="6" applyNumberFormat="1" applyFont="1" applyBorder="1"/>
    <xf numFmtId="3" fontId="3" fillId="16" borderId="113" xfId="6" applyNumberFormat="1" applyFont="1" applyFill="1" applyBorder="1" applyProtection="1">
      <protection locked="0"/>
    </xf>
    <xf numFmtId="4" fontId="6" fillId="7" borderId="10" xfId="6" applyNumberFormat="1" applyFont="1" applyFill="1" applyBorder="1" applyProtection="1">
      <protection locked="0"/>
    </xf>
    <xf numFmtId="3" fontId="6" fillId="0" borderId="2" xfId="6" applyNumberFormat="1" applyFont="1" applyFill="1" applyBorder="1" applyProtection="1"/>
    <xf numFmtId="164" fontId="6" fillId="4" borderId="126" xfId="5" applyNumberFormat="1" applyFont="1" applyFill="1" applyBorder="1" applyAlignment="1" applyProtection="1">
      <protection locked="0"/>
    </xf>
    <xf numFmtId="177" fontId="6" fillId="0" borderId="126" xfId="1" applyNumberFormat="1" applyFont="1" applyFill="1" applyBorder="1" applyAlignment="1" applyProtection="1">
      <alignment horizontal="right"/>
    </xf>
    <xf numFmtId="164" fontId="6" fillId="0" borderId="127" xfId="5" applyNumberFormat="1" applyFont="1" applyFill="1" applyBorder="1" applyAlignment="1" applyProtection="1"/>
    <xf numFmtId="3" fontId="6" fillId="0" borderId="128" xfId="5" applyNumberFormat="1" applyFont="1" applyBorder="1"/>
    <xf numFmtId="166" fontId="6" fillId="4" borderId="127" xfId="5" applyNumberFormat="1" applyFont="1" applyFill="1" applyBorder="1" applyAlignment="1" applyProtection="1">
      <protection locked="0"/>
    </xf>
    <xf numFmtId="3" fontId="6" fillId="0" borderId="97" xfId="5" applyNumberFormat="1" applyFont="1" applyBorder="1"/>
    <xf numFmtId="3" fontId="6" fillId="0" borderId="98" xfId="5" applyNumberFormat="1" applyFont="1" applyBorder="1" applyAlignment="1">
      <alignment horizontal="center"/>
    </xf>
    <xf numFmtId="164" fontId="6" fillId="0" borderId="99" xfId="5" applyNumberFormat="1" applyFont="1" applyBorder="1"/>
    <xf numFmtId="0" fontId="6" fillId="0" borderId="0" xfId="5" applyFont="1" applyAlignment="1"/>
    <xf numFmtId="0" fontId="46" fillId="0" borderId="0" xfId="6" applyFont="1" applyFill="1" applyBorder="1" applyAlignment="1">
      <alignment wrapText="1"/>
    </xf>
    <xf numFmtId="0" fontId="46" fillId="0" borderId="0" xfId="6" applyFont="1" applyFill="1" applyBorder="1"/>
    <xf numFmtId="0" fontId="47" fillId="0" borderId="0" xfId="6" applyFont="1" applyFill="1" applyBorder="1" applyAlignment="1">
      <alignment vertical="center" wrapText="1"/>
    </xf>
    <xf numFmtId="173" fontId="3" fillId="0" borderId="0" xfId="4" applyNumberFormat="1" applyFont="1" applyFill="1" applyAlignment="1" applyProtection="1">
      <alignment horizontal="center"/>
    </xf>
    <xf numFmtId="3" fontId="3" fillId="0" borderId="138" xfId="6" applyNumberFormat="1" applyFont="1" applyFill="1" applyBorder="1" applyProtection="1"/>
    <xf numFmtId="3" fontId="3" fillId="0" borderId="139" xfId="6" applyNumberFormat="1" applyFont="1" applyFill="1" applyBorder="1" applyProtection="1"/>
    <xf numFmtId="178" fontId="3" fillId="9" borderId="21" xfId="6" applyNumberFormat="1" applyFont="1" applyFill="1" applyBorder="1" applyAlignment="1" applyProtection="1">
      <alignment horizontal="center"/>
    </xf>
    <xf numFmtId="0" fontId="6" fillId="0" borderId="0" xfId="5" applyFont="1" applyAlignment="1">
      <alignment wrapText="1"/>
    </xf>
    <xf numFmtId="0" fontId="32" fillId="0" borderId="0" xfId="0" applyFont="1" applyAlignment="1">
      <alignment vertical="top" wrapText="1"/>
    </xf>
    <xf numFmtId="0" fontId="48" fillId="0" borderId="48" xfId="0" applyFont="1" applyBorder="1"/>
    <xf numFmtId="0" fontId="49" fillId="0" borderId="0" xfId="0" applyFont="1"/>
    <xf numFmtId="0" fontId="48" fillId="0" borderId="123" xfId="0" applyFont="1" applyBorder="1" applyAlignment="1">
      <alignment horizontal="center"/>
    </xf>
    <xf numFmtId="3" fontId="38" fillId="0" borderId="123" xfId="0" applyNumberFormat="1" applyFont="1" applyBorder="1"/>
    <xf numFmtId="167" fontId="6" fillId="16" borderId="11" xfId="0" applyNumberFormat="1" applyFont="1" applyFill="1" applyBorder="1" applyProtection="1"/>
    <xf numFmtId="173" fontId="8" fillId="7" borderId="49" xfId="1" applyNumberFormat="1" applyFont="1" applyFill="1" applyBorder="1" applyAlignment="1" applyProtection="1">
      <alignment horizontal="center"/>
      <protection locked="0"/>
    </xf>
    <xf numFmtId="181" fontId="2" fillId="0" borderId="0" xfId="7" applyNumberFormat="1" applyFont="1"/>
    <xf numFmtId="174" fontId="3" fillId="0" borderId="17" xfId="0" applyNumberFormat="1" applyFont="1" applyFill="1" applyBorder="1" applyAlignment="1" applyProtection="1">
      <alignment horizontal="center"/>
    </xf>
    <xf numFmtId="169" fontId="6" fillId="4" borderId="11" xfId="0" applyNumberFormat="1" applyFont="1" applyFill="1" applyBorder="1" applyProtection="1">
      <protection locked="0"/>
    </xf>
    <xf numFmtId="173" fontId="8" fillId="15" borderId="49" xfId="1" applyNumberFormat="1" applyFont="1" applyFill="1" applyBorder="1" applyProtection="1"/>
    <xf numFmtId="3" fontId="6" fillId="0" borderId="22" xfId="0" applyNumberFormat="1" applyFont="1" applyFill="1" applyBorder="1" applyProtection="1"/>
    <xf numFmtId="3" fontId="6" fillId="7" borderId="20" xfId="0" applyNumberFormat="1" applyFont="1" applyFill="1" applyBorder="1" applyProtection="1">
      <protection locked="0"/>
    </xf>
    <xf numFmtId="3" fontId="6" fillId="7" borderId="2" xfId="0" applyNumberFormat="1" applyFont="1" applyFill="1" applyBorder="1" applyProtection="1">
      <protection locked="0"/>
    </xf>
    <xf numFmtId="172" fontId="2" fillId="0" borderId="0" xfId="5" applyNumberFormat="1" applyFont="1"/>
    <xf numFmtId="172" fontId="6" fillId="0" borderId="0" xfId="0" applyNumberFormat="1" applyFont="1"/>
    <xf numFmtId="172" fontId="47" fillId="0" borderId="0" xfId="6" applyNumberFormat="1" applyFont="1" applyFill="1" applyBorder="1" applyAlignment="1">
      <alignment vertical="center" wrapText="1"/>
    </xf>
    <xf numFmtId="172" fontId="2" fillId="0" borderId="0" xfId="0" applyNumberFormat="1" applyFont="1"/>
    <xf numFmtId="172" fontId="2" fillId="0" borderId="0" xfId="0" applyNumberFormat="1" applyFont="1" applyAlignment="1">
      <alignment horizontal="right"/>
    </xf>
    <xf numFmtId="172" fontId="2" fillId="0" borderId="0" xfId="5" applyNumberFormat="1" applyFont="1" applyAlignment="1">
      <alignment horizontal="right"/>
    </xf>
    <xf numFmtId="173" fontId="8" fillId="7" borderId="49" xfId="1" applyNumberFormat="1" applyFont="1" applyFill="1" applyBorder="1" applyAlignment="1" applyProtection="1">
      <alignment horizontal="center"/>
      <protection locked="0"/>
    </xf>
    <xf numFmtId="166" fontId="6" fillId="4" borderId="42" xfId="0" applyNumberFormat="1" applyFont="1" applyFill="1" applyBorder="1" applyProtection="1">
      <protection locked="0"/>
    </xf>
    <xf numFmtId="164" fontId="6" fillId="0" borderId="0" xfId="0" applyNumberFormat="1" applyFont="1" applyAlignment="1">
      <alignment horizontal="left" indent="2"/>
    </xf>
    <xf numFmtId="0" fontId="32" fillId="4" borderId="27" xfId="6" applyFont="1" applyFill="1" applyBorder="1" applyAlignment="1" applyProtection="1">
      <alignment horizontal="center" vertical="center"/>
      <protection locked="0"/>
    </xf>
    <xf numFmtId="0" fontId="32" fillId="0" borderId="27" xfId="6" applyFont="1" applyFill="1" applyBorder="1" applyAlignment="1" applyProtection="1">
      <alignment horizontal="left" vertical="center" wrapText="1"/>
    </xf>
    <xf numFmtId="0" fontId="33" fillId="0" borderId="88" xfId="6" applyFont="1" applyFill="1" applyBorder="1" applyAlignment="1" applyProtection="1">
      <alignment horizontal="left" vertical="center" wrapText="1"/>
    </xf>
    <xf numFmtId="171" fontId="37" fillId="4" borderId="49" xfId="6" applyNumberFormat="1" applyFont="1" applyFill="1" applyBorder="1" applyAlignment="1" applyProtection="1">
      <alignment horizontal="center" wrapText="1"/>
      <protection locked="0"/>
    </xf>
    <xf numFmtId="0" fontId="2" fillId="0" borderId="118" xfId="6" applyFont="1" applyFill="1" applyBorder="1" applyAlignment="1" applyProtection="1">
      <alignment horizontal="left" wrapText="1"/>
    </xf>
    <xf numFmtId="0" fontId="6" fillId="0" borderId="0" xfId="6" applyFont="1" applyAlignment="1"/>
    <xf numFmtId="0" fontId="6" fillId="0" borderId="0" xfId="6" applyFont="1" applyFill="1" applyBorder="1" applyAlignment="1"/>
    <xf numFmtId="0" fontId="2" fillId="0" borderId="0" xfId="6" applyFont="1" applyAlignment="1">
      <alignment horizontal="right"/>
    </xf>
    <xf numFmtId="0" fontId="2" fillId="16" borderId="105" xfId="6" applyFont="1" applyFill="1" applyBorder="1" applyAlignment="1" applyProtection="1">
      <alignment horizontal="center"/>
      <protection locked="0"/>
    </xf>
    <xf numFmtId="3" fontId="7" fillId="0" borderId="13" xfId="6" applyNumberFormat="1" applyFont="1" applyBorder="1" applyAlignment="1">
      <alignment wrapText="1"/>
    </xf>
    <xf numFmtId="3" fontId="3" fillId="0" borderId="14" xfId="6" applyNumberFormat="1" applyFont="1" applyBorder="1" applyAlignment="1">
      <alignment wrapText="1"/>
    </xf>
    <xf numFmtId="3" fontId="7" fillId="0" borderId="16" xfId="6" applyNumberFormat="1" applyFont="1" applyBorder="1" applyAlignment="1">
      <alignment horizontal="center" wrapText="1"/>
    </xf>
    <xf numFmtId="0" fontId="3" fillId="0" borderId="16" xfId="6" applyFont="1" applyFill="1" applyBorder="1" applyAlignment="1" applyProtection="1">
      <alignment horizontal="center" vertical="center" wrapText="1"/>
    </xf>
    <xf numFmtId="0" fontId="3" fillId="0" borderId="15" xfId="6" applyFont="1" applyFill="1" applyBorder="1" applyAlignment="1" applyProtection="1">
      <alignment horizontal="center" vertical="center" wrapText="1"/>
    </xf>
    <xf numFmtId="0" fontId="3" fillId="0" borderId="0" xfId="6" applyFont="1" applyAlignment="1"/>
    <xf numFmtId="0" fontId="3" fillId="0" borderId="0" xfId="6" applyFont="1" applyAlignment="1" applyProtection="1">
      <alignment horizontal="center"/>
    </xf>
    <xf numFmtId="0" fontId="7" fillId="0" borderId="135" xfId="6" applyFont="1" applyBorder="1" applyAlignment="1" applyProtection="1">
      <alignment vertical="center"/>
    </xf>
    <xf numFmtId="0" fontId="7" fillId="0" borderId="133" xfId="6" applyFont="1" applyBorder="1" applyAlignment="1">
      <alignment horizontal="center" vertical="center" wrapText="1"/>
    </xf>
    <xf numFmtId="0" fontId="7" fillId="0" borderId="132" xfId="6" applyFont="1" applyBorder="1" applyAlignment="1">
      <alignment horizontal="center" vertical="center" wrapText="1"/>
    </xf>
    <xf numFmtId="0" fontId="7" fillId="0" borderId="134" xfId="6" applyFont="1" applyBorder="1" applyAlignment="1">
      <alignment horizontal="center" vertical="center" wrapText="1"/>
    </xf>
    <xf numFmtId="0" fontId="7" fillId="0" borderId="142" xfId="6" applyFont="1" applyBorder="1" applyAlignment="1">
      <alignment horizontal="center" vertical="center" wrapText="1"/>
    </xf>
    <xf numFmtId="3" fontId="6" fillId="0" borderId="11" xfId="6" applyNumberFormat="1" applyFont="1" applyFill="1" applyBorder="1" applyProtection="1"/>
    <xf numFmtId="3" fontId="6" fillId="0" borderId="129" xfId="6" applyNumberFormat="1" applyFont="1" applyBorder="1" applyAlignment="1">
      <alignment horizontal="center"/>
    </xf>
    <xf numFmtId="164" fontId="6" fillId="0" borderId="5" xfId="6" applyNumberFormat="1" applyFont="1" applyBorder="1"/>
    <xf numFmtId="170" fontId="3" fillId="0" borderId="0" xfId="6" applyNumberFormat="1" applyFont="1" applyFill="1" applyBorder="1" applyAlignment="1" applyProtection="1">
      <alignment horizontal="left"/>
    </xf>
    <xf numFmtId="3" fontId="3" fillId="16" borderId="140" xfId="6" applyNumberFormat="1" applyFont="1" applyFill="1" applyBorder="1" applyAlignment="1" applyProtection="1">
      <alignment horizontal="center"/>
      <protection locked="0"/>
    </xf>
    <xf numFmtId="3" fontId="3" fillId="0" borderId="25" xfId="6" applyNumberFormat="1" applyFont="1" applyBorder="1" applyAlignment="1">
      <alignment horizontal="center"/>
    </xf>
    <xf numFmtId="3" fontId="3" fillId="0" borderId="88" xfId="6" applyNumberFormat="1" applyFont="1" applyBorder="1" applyAlignment="1">
      <alignment horizontal="center"/>
    </xf>
    <xf numFmtId="3" fontId="7" fillId="0" borderId="23" xfId="6" applyNumberFormat="1" applyFont="1" applyBorder="1" applyAlignment="1">
      <alignment horizontal="center"/>
    </xf>
    <xf numFmtId="172" fontId="3" fillId="0" borderId="138" xfId="6" applyNumberFormat="1" applyFont="1" applyBorder="1"/>
    <xf numFmtId="3" fontId="6" fillId="0" borderId="130" xfId="6" applyNumberFormat="1" applyFont="1" applyBorder="1" applyAlignment="1">
      <alignment horizontal="center"/>
    </xf>
    <xf numFmtId="3" fontId="3" fillId="16" borderId="141" xfId="6" applyNumberFormat="1" applyFont="1" applyFill="1" applyBorder="1" applyAlignment="1" applyProtection="1">
      <alignment horizontal="center"/>
      <protection locked="0"/>
    </xf>
    <xf numFmtId="3" fontId="3" fillId="0" borderId="49" xfId="6" applyNumberFormat="1" applyFont="1" applyBorder="1" applyAlignment="1">
      <alignment horizontal="center"/>
    </xf>
    <xf numFmtId="3" fontId="3" fillId="0" borderId="137" xfId="6" applyNumberFormat="1" applyFont="1" applyBorder="1" applyAlignment="1">
      <alignment horizontal="center"/>
    </xf>
    <xf numFmtId="3" fontId="7" fillId="0" borderId="116" xfId="6" applyNumberFormat="1" applyFont="1" applyBorder="1" applyAlignment="1">
      <alignment horizontal="center"/>
    </xf>
    <xf numFmtId="0" fontId="3" fillId="0" borderId="0" xfId="6" applyFont="1" applyAlignment="1">
      <alignment horizontal="center"/>
    </xf>
    <xf numFmtId="3" fontId="6" fillId="0" borderId="78" xfId="6" applyNumberFormat="1" applyFont="1" applyFill="1" applyBorder="1" applyProtection="1"/>
    <xf numFmtId="4" fontId="6" fillId="0" borderId="78" xfId="6" applyNumberFormat="1" applyFont="1" applyFill="1" applyBorder="1" applyProtection="1"/>
    <xf numFmtId="4" fontId="6" fillId="7" borderId="78" xfId="6" applyNumberFormat="1" applyFont="1" applyFill="1" applyBorder="1" applyProtection="1">
      <protection locked="0"/>
    </xf>
    <xf numFmtId="3" fontId="6" fillId="0" borderId="131" xfId="6" applyNumberFormat="1" applyFont="1" applyBorder="1" applyAlignment="1">
      <alignment horizontal="center"/>
    </xf>
    <xf numFmtId="164" fontId="6" fillId="0" borderId="34" xfId="6" applyNumberFormat="1" applyFont="1" applyBorder="1"/>
    <xf numFmtId="3" fontId="3" fillId="16" borderId="59" xfId="6" applyNumberFormat="1" applyFont="1" applyFill="1" applyBorder="1" applyAlignment="1" applyProtection="1">
      <alignment horizontal="center"/>
      <protection locked="0"/>
    </xf>
    <xf numFmtId="3" fontId="3" fillId="0" borderId="16" xfId="6" applyNumberFormat="1" applyFont="1" applyBorder="1" applyAlignment="1">
      <alignment horizontal="center"/>
    </xf>
    <xf numFmtId="3" fontId="3" fillId="0" borderId="60" xfId="6" applyNumberFormat="1" applyFont="1" applyBorder="1" applyAlignment="1">
      <alignment horizontal="center"/>
    </xf>
    <xf numFmtId="3" fontId="7" fillId="0" borderId="13" xfId="6" applyNumberFormat="1" applyFont="1" applyBorder="1" applyAlignment="1">
      <alignment horizontal="center"/>
    </xf>
    <xf numFmtId="172" fontId="3" fillId="0" borderId="139" xfId="6" applyNumberFormat="1" applyFont="1" applyBorder="1"/>
    <xf numFmtId="3" fontId="6" fillId="0" borderId="20" xfId="6" applyNumberFormat="1" applyFont="1" applyFill="1" applyBorder="1" applyProtection="1"/>
    <xf numFmtId="0" fontId="2" fillId="0" borderId="153" xfId="6" applyFont="1" applyBorder="1" applyProtection="1"/>
    <xf numFmtId="3" fontId="2" fillId="0" borderId="68" xfId="6" applyNumberFormat="1" applyFont="1" applyBorder="1" applyAlignment="1">
      <alignment horizontal="center"/>
    </xf>
    <xf numFmtId="3" fontId="2" fillId="9" borderId="45" xfId="6" applyNumberFormat="1" applyFont="1" applyFill="1" applyBorder="1" applyAlignment="1">
      <alignment horizontal="center"/>
    </xf>
    <xf numFmtId="3" fontId="2" fillId="0" borderId="45" xfId="6" applyNumberFormat="1" applyFont="1" applyBorder="1" applyAlignment="1">
      <alignment horizontal="center"/>
    </xf>
    <xf numFmtId="3" fontId="2" fillId="0" borderId="63" xfId="6" applyNumberFormat="1" applyFont="1" applyBorder="1" applyAlignment="1">
      <alignment horizontal="center"/>
    </xf>
    <xf numFmtId="3" fontId="2" fillId="0" borderId="53" xfId="6" applyNumberFormat="1" applyFont="1" applyBorder="1" applyAlignment="1">
      <alignment horizontal="center"/>
    </xf>
    <xf numFmtId="172" fontId="3" fillId="0" borderId="153" xfId="6" applyNumberFormat="1" applyFont="1" applyBorder="1"/>
    <xf numFmtId="3" fontId="6" fillId="16" borderId="20" xfId="6" applyNumberFormat="1" applyFont="1" applyFill="1" applyBorder="1" applyProtection="1">
      <protection locked="0"/>
    </xf>
    <xf numFmtId="173" fontId="3" fillId="16" borderId="0" xfId="4" applyNumberFormat="1" applyFont="1" applyFill="1" applyAlignment="1" applyProtection="1">
      <alignment horizontal="center"/>
      <protection locked="0"/>
    </xf>
    <xf numFmtId="3" fontId="2" fillId="0" borderId="0" xfId="6" applyNumberFormat="1" applyFont="1" applyBorder="1" applyAlignment="1">
      <alignment horizontal="center"/>
    </xf>
    <xf numFmtId="172" fontId="6" fillId="0" borderId="136" xfId="6" applyNumberFormat="1" applyFont="1" applyBorder="1"/>
    <xf numFmtId="0" fontId="6" fillId="0" borderId="0" xfId="6" applyFont="1" applyAlignment="1">
      <alignment horizontal="right" vertical="center"/>
    </xf>
    <xf numFmtId="172" fontId="6" fillId="12" borderId="154" xfId="6" applyNumberFormat="1" applyFont="1" applyFill="1" applyBorder="1" applyAlignment="1" applyProtection="1">
      <protection locked="0"/>
    </xf>
    <xf numFmtId="0" fontId="6" fillId="0" borderId="0" xfId="6" applyFont="1" applyProtection="1">
      <protection locked="0"/>
    </xf>
    <xf numFmtId="3" fontId="9" fillId="9" borderId="13" xfId="6" applyNumberFormat="1" applyFont="1" applyFill="1" applyBorder="1"/>
    <xf numFmtId="3" fontId="43" fillId="9" borderId="14" xfId="6" applyNumberFormat="1" applyFont="1" applyFill="1" applyBorder="1" applyAlignment="1">
      <alignment wrapText="1"/>
    </xf>
    <xf numFmtId="3" fontId="44" fillId="0" borderId="16" xfId="6" applyNumberFormat="1" applyFont="1" applyFill="1" applyBorder="1"/>
    <xf numFmtId="4" fontId="45" fillId="2" borderId="16" xfId="6" applyNumberFormat="1" applyFont="1" applyFill="1" applyBorder="1" applyAlignment="1">
      <alignment horizontal="left" wrapText="1"/>
    </xf>
    <xf numFmtId="3" fontId="42" fillId="2" borderId="28" xfId="6" applyNumberFormat="1" applyFont="1" applyFill="1" applyBorder="1" applyAlignment="1">
      <alignment wrapText="1"/>
    </xf>
    <xf numFmtId="3" fontId="6" fillId="0" borderId="59" xfId="6" applyNumberFormat="1" applyFont="1" applyBorder="1" applyAlignment="1">
      <alignment horizontal="center"/>
    </xf>
    <xf numFmtId="164" fontId="4" fillId="0" borderId="28" xfId="6" applyNumberFormat="1" applyFont="1" applyBorder="1"/>
    <xf numFmtId="0" fontId="6" fillId="0" borderId="0" xfId="6" applyFont="1" applyAlignment="1">
      <alignment vertical="center"/>
    </xf>
    <xf numFmtId="0" fontId="3" fillId="0" borderId="125" xfId="6" applyFont="1" applyBorder="1" applyAlignment="1">
      <alignment vertical="center" wrapText="1"/>
    </xf>
    <xf numFmtId="0" fontId="6" fillId="0" borderId="0" xfId="5" applyFont="1" applyAlignment="1">
      <alignment horizontal="left"/>
    </xf>
    <xf numFmtId="0" fontId="6" fillId="0" borderId="0" xfId="5" applyFont="1" applyAlignment="1">
      <alignment vertical="top" wrapText="1"/>
    </xf>
    <xf numFmtId="0" fontId="46" fillId="0" borderId="0" xfId="6" applyFont="1" applyFill="1" applyBorder="1" applyAlignment="1">
      <alignment horizontal="center" vertical="center" wrapText="1"/>
    </xf>
    <xf numFmtId="4" fontId="52" fillId="7" borderId="9" xfId="6" applyNumberFormat="1" applyFont="1" applyFill="1" applyBorder="1" applyProtection="1">
      <protection locked="0"/>
    </xf>
    <xf numFmtId="2" fontId="3" fillId="7" borderId="21" xfId="6" applyNumberFormat="1" applyFont="1" applyFill="1" applyBorder="1" applyAlignment="1" applyProtection="1">
      <alignment horizontal="center"/>
      <protection locked="0"/>
    </xf>
    <xf numFmtId="2" fontId="3" fillId="7" borderId="115" xfId="6" applyNumberFormat="1" applyFont="1" applyFill="1" applyBorder="1" applyAlignment="1" applyProtection="1">
      <alignment horizontal="center"/>
      <protection locked="0"/>
    </xf>
    <xf numFmtId="6" fontId="7" fillId="0" borderId="69" xfId="4" applyNumberFormat="1" applyFont="1" applyFill="1" applyBorder="1" applyAlignment="1" applyProtection="1">
      <alignment horizontal="center"/>
    </xf>
    <xf numFmtId="172" fontId="3" fillId="0" borderId="155" xfId="6" applyNumberFormat="1" applyFont="1" applyBorder="1"/>
    <xf numFmtId="0" fontId="7" fillId="0" borderId="135" xfId="6" applyFont="1" applyBorder="1" applyAlignment="1">
      <alignment horizontal="center" vertical="center" wrapText="1"/>
    </xf>
    <xf numFmtId="164" fontId="54" fillId="0" borderId="140" xfId="6" applyNumberFormat="1" applyFont="1" applyBorder="1"/>
    <xf numFmtId="164" fontId="54" fillId="0" borderId="141" xfId="6" applyNumberFormat="1" applyFont="1" applyBorder="1"/>
    <xf numFmtId="164" fontId="54" fillId="0" borderId="68" xfId="6" applyNumberFormat="1" applyFont="1" applyBorder="1"/>
    <xf numFmtId="164" fontId="55" fillId="0" borderId="156" xfId="6" applyNumberFormat="1" applyFont="1" applyBorder="1"/>
    <xf numFmtId="167" fontId="54" fillId="0" borderId="2" xfId="5" applyNumberFormat="1" applyFont="1" applyFill="1" applyBorder="1" applyProtection="1"/>
    <xf numFmtId="165" fontId="54" fillId="0" borderId="26" xfId="6" applyNumberFormat="1" applyFont="1" applyBorder="1"/>
    <xf numFmtId="165" fontId="54" fillId="0" borderId="118" xfId="6" applyNumberFormat="1" applyFont="1" applyBorder="1"/>
    <xf numFmtId="165" fontId="54" fillId="0" borderId="44" xfId="6" applyNumberFormat="1" applyFont="1" applyBorder="1"/>
    <xf numFmtId="165" fontId="55" fillId="0" borderId="143" xfId="6" applyNumberFormat="1" applyFont="1" applyBorder="1"/>
    <xf numFmtId="0" fontId="56" fillId="0" borderId="135" xfId="6" applyFont="1" applyBorder="1" applyAlignment="1">
      <alignment horizontal="center" vertical="center" wrapText="1"/>
    </xf>
    <xf numFmtId="1" fontId="57" fillId="0" borderId="155" xfId="6" applyNumberFormat="1" applyFont="1" applyBorder="1" applyAlignment="1">
      <alignment horizontal="right" indent="2"/>
    </xf>
    <xf numFmtId="1" fontId="57" fillId="0" borderId="138" xfId="6" applyNumberFormat="1" applyFont="1" applyBorder="1" applyAlignment="1">
      <alignment horizontal="right" indent="2"/>
    </xf>
    <xf numFmtId="1" fontId="57" fillId="0" borderId="154" xfId="6" applyNumberFormat="1" applyFont="1" applyBorder="1" applyAlignment="1">
      <alignment horizontal="right" indent="2"/>
    </xf>
    <xf numFmtId="1" fontId="58" fillId="0" borderId="135" xfId="6" applyNumberFormat="1" applyFont="1" applyBorder="1" applyAlignment="1">
      <alignment horizontal="right" indent="2"/>
    </xf>
    <xf numFmtId="0" fontId="18" fillId="0" borderId="0" xfId="0" applyFont="1" applyBorder="1"/>
    <xf numFmtId="173" fontId="18" fillId="0" borderId="56" xfId="0" applyNumberFormat="1" applyFont="1" applyBorder="1" applyAlignment="1">
      <alignment horizontal="center"/>
    </xf>
    <xf numFmtId="0" fontId="60" fillId="0" borderId="56" xfId="0" applyFont="1" applyBorder="1"/>
    <xf numFmtId="0" fontId="60" fillId="0" borderId="0" xfId="0" applyFont="1" applyBorder="1"/>
    <xf numFmtId="0" fontId="18" fillId="0" borderId="0" xfId="0" applyFont="1" applyAlignment="1"/>
    <xf numFmtId="0" fontId="62" fillId="0" borderId="54" xfId="0" applyFont="1" applyFill="1" applyBorder="1"/>
    <xf numFmtId="0" fontId="59" fillId="0" borderId="0" xfId="0" applyFont="1"/>
    <xf numFmtId="0" fontId="59" fillId="0" borderId="0" xfId="0" applyFont="1" applyAlignment="1">
      <alignment horizontal="left" vertical="center" indent="1"/>
    </xf>
    <xf numFmtId="0" fontId="63" fillId="0" borderId="0" xfId="0" applyFont="1"/>
    <xf numFmtId="0" fontId="62" fillId="0" borderId="0" xfId="0" applyFont="1" applyAlignment="1">
      <alignment horizontal="left" vertical="center" indent="1"/>
    </xf>
    <xf numFmtId="0" fontId="64" fillId="0" borderId="0" xfId="0" applyFont="1"/>
    <xf numFmtId="0" fontId="65" fillId="0" borderId="56" xfId="0" applyFont="1" applyBorder="1"/>
    <xf numFmtId="0" fontId="23" fillId="0" borderId="0" xfId="0" applyFont="1" applyAlignment="1">
      <alignment horizontal="right"/>
    </xf>
    <xf numFmtId="14" fontId="23" fillId="0" borderId="0" xfId="0" applyNumberFormat="1" applyFont="1" applyAlignment="1">
      <alignment horizontal="center"/>
    </xf>
    <xf numFmtId="0" fontId="23" fillId="0" borderId="0" xfId="6" applyFont="1"/>
    <xf numFmtId="0" fontId="9" fillId="0" borderId="0" xfId="6" applyFont="1" applyFill="1" applyBorder="1" applyAlignment="1">
      <alignment horizontal="left" wrapText="1"/>
    </xf>
    <xf numFmtId="173" fontId="8" fillId="7" borderId="125" xfId="1" applyNumberFormat="1" applyFont="1" applyFill="1" applyBorder="1" applyAlignment="1" applyProtection="1">
      <protection locked="0"/>
    </xf>
    <xf numFmtId="6" fontId="2" fillId="17" borderId="139" xfId="6" applyNumberFormat="1" applyFont="1" applyFill="1" applyBorder="1" applyAlignment="1">
      <alignment vertical="center"/>
    </xf>
    <xf numFmtId="167" fontId="3" fillId="16" borderId="25" xfId="6" applyNumberFormat="1" applyFont="1" applyFill="1" applyBorder="1" applyAlignment="1" applyProtection="1">
      <alignment horizontal="center"/>
      <protection locked="0"/>
    </xf>
    <xf numFmtId="167" fontId="3" fillId="16" borderId="49" xfId="6" applyNumberFormat="1" applyFont="1" applyFill="1" applyBorder="1" applyAlignment="1" applyProtection="1">
      <alignment horizontal="center"/>
      <protection locked="0"/>
    </xf>
    <xf numFmtId="167" fontId="3" fillId="16" borderId="16" xfId="6" applyNumberFormat="1" applyFont="1" applyFill="1" applyBorder="1" applyAlignment="1" applyProtection="1">
      <alignment horizontal="center"/>
      <protection locked="0"/>
    </xf>
    <xf numFmtId="0" fontId="3" fillId="0" borderId="0" xfId="0" applyFont="1" applyAlignment="1">
      <alignment wrapText="1"/>
    </xf>
    <xf numFmtId="0" fontId="68" fillId="0" borderId="104" xfId="6" applyFont="1" applyFill="1" applyBorder="1"/>
    <xf numFmtId="172" fontId="68" fillId="0" borderId="22" xfId="6" applyNumberFormat="1" applyFont="1" applyFill="1" applyBorder="1" applyAlignment="1">
      <alignment wrapText="1"/>
    </xf>
    <xf numFmtId="164" fontId="67" fillId="0" borderId="22" xfId="6" applyNumberFormat="1" applyFont="1" applyFill="1" applyBorder="1"/>
    <xf numFmtId="0" fontId="69" fillId="0" borderId="50" xfId="6" applyFont="1" applyFill="1" applyBorder="1" applyAlignment="1">
      <alignment horizontal="left"/>
    </xf>
    <xf numFmtId="172" fontId="70" fillId="0" borderId="103" xfId="6" applyNumberFormat="1" applyFont="1" applyFill="1" applyBorder="1"/>
    <xf numFmtId="0" fontId="68" fillId="0" borderId="101" xfId="6" applyFont="1" applyFill="1" applyBorder="1" applyAlignment="1">
      <alignment wrapText="1"/>
    </xf>
    <xf numFmtId="0" fontId="6" fillId="0" borderId="121" xfId="5" applyFont="1" applyBorder="1"/>
    <xf numFmtId="172" fontId="68" fillId="0" borderId="102" xfId="6" applyNumberFormat="1" applyFont="1" applyFill="1" applyBorder="1" applyAlignment="1">
      <alignment wrapText="1"/>
    </xf>
    <xf numFmtId="0" fontId="6" fillId="0" borderId="48" xfId="5" applyFont="1" applyBorder="1"/>
    <xf numFmtId="0" fontId="68" fillId="0" borderId="101" xfId="6" applyFont="1" applyFill="1" applyBorder="1" applyAlignment="1">
      <alignment horizontal="left"/>
    </xf>
    <xf numFmtId="172" fontId="67" fillId="0" borderId="102" xfId="6" applyNumberFormat="1" applyFont="1" applyFill="1" applyBorder="1" applyAlignment="1">
      <alignment wrapText="1"/>
    </xf>
    <xf numFmtId="0" fontId="70" fillId="0" borderId="125" xfId="6" applyFont="1" applyFill="1" applyBorder="1" applyAlignment="1">
      <alignment horizontal="left"/>
    </xf>
    <xf numFmtId="0" fontId="6" fillId="0" borderId="118" xfId="5" applyFont="1" applyBorder="1"/>
    <xf numFmtId="165" fontId="70" fillId="0" borderId="117" xfId="6" applyNumberFormat="1" applyFont="1" applyFill="1" applyBorder="1"/>
    <xf numFmtId="3" fontId="5" fillId="0" borderId="90" xfId="0" applyNumberFormat="1" applyFont="1" applyBorder="1" applyAlignment="1">
      <alignment horizontal="left"/>
    </xf>
    <xf numFmtId="170" fontId="40" fillId="12" borderId="0" xfId="0" applyNumberFormat="1" applyFont="1" applyFill="1"/>
    <xf numFmtId="0" fontId="7" fillId="0" borderId="49" xfId="0" applyFont="1" applyBorder="1" applyAlignment="1">
      <alignment horizontal="center"/>
    </xf>
    <xf numFmtId="3" fontId="4" fillId="0" borderId="56" xfId="0" applyNumberFormat="1" applyFont="1" applyBorder="1" applyAlignment="1">
      <alignment horizontal="left"/>
    </xf>
    <xf numFmtId="3" fontId="4" fillId="0" borderId="0" xfId="0" applyNumberFormat="1" applyFont="1" applyBorder="1" applyAlignment="1">
      <alignment horizontal="left"/>
    </xf>
    <xf numFmtId="3" fontId="4" fillId="0" borderId="103" xfId="0" applyNumberFormat="1" applyFont="1" applyBorder="1" applyAlignment="1">
      <alignment horizontal="left"/>
    </xf>
    <xf numFmtId="3" fontId="4" fillId="0" borderId="77" xfId="0" applyNumberFormat="1" applyFont="1" applyBorder="1" applyAlignment="1">
      <alignment horizontal="center"/>
    </xf>
    <xf numFmtId="164" fontId="4" fillId="0" borderId="57" xfId="0" applyNumberFormat="1" applyFont="1" applyBorder="1"/>
    <xf numFmtId="164" fontId="4" fillId="0" borderId="103" xfId="0" applyNumberFormat="1" applyFont="1" applyBorder="1"/>
    <xf numFmtId="3" fontId="4" fillId="0" borderId="16" xfId="0" applyNumberFormat="1" applyFont="1" applyBorder="1" applyAlignment="1">
      <alignment horizontal="center"/>
    </xf>
    <xf numFmtId="164" fontId="4" fillId="0" borderId="28" xfId="0" applyNumberFormat="1" applyFont="1" applyBorder="1"/>
    <xf numFmtId="164" fontId="4" fillId="0" borderId="14" xfId="0" applyNumberFormat="1" applyFont="1" applyBorder="1"/>
    <xf numFmtId="0" fontId="73" fillId="0" borderId="0" xfId="0" applyFont="1"/>
    <xf numFmtId="0" fontId="16" fillId="0" borderId="0" xfId="0" applyFont="1" applyBorder="1"/>
    <xf numFmtId="170" fontId="3" fillId="0" borderId="0" xfId="0" applyNumberFormat="1" applyFont="1"/>
    <xf numFmtId="6" fontId="5" fillId="5" borderId="44" xfId="0" applyNumberFormat="1" applyFont="1" applyFill="1" applyBorder="1" applyAlignment="1">
      <alignment vertical="center"/>
    </xf>
    <xf numFmtId="173" fontId="6" fillId="4" borderId="2" xfId="1" applyNumberFormat="1" applyFont="1" applyFill="1" applyBorder="1" applyProtection="1">
      <protection locked="0"/>
    </xf>
    <xf numFmtId="168" fontId="6" fillId="0" borderId="2" xfId="0" applyNumberFormat="1" applyFont="1" applyFill="1" applyBorder="1" applyProtection="1">
      <protection locked="0"/>
    </xf>
    <xf numFmtId="3" fontId="4" fillId="0" borderId="16" xfId="5" applyNumberFormat="1" applyFont="1" applyBorder="1" applyAlignment="1">
      <alignment horizontal="center"/>
    </xf>
    <xf numFmtId="164" fontId="4" fillId="0" borderId="28" xfId="5" applyNumberFormat="1" applyFont="1" applyBorder="1"/>
    <xf numFmtId="0" fontId="48" fillId="7" borderId="48" xfId="0" applyFont="1" applyFill="1" applyBorder="1" applyAlignment="1">
      <alignment horizontal="center"/>
    </xf>
    <xf numFmtId="0" fontId="48" fillId="7" borderId="118" xfId="0" applyFont="1" applyFill="1" applyBorder="1" applyAlignment="1">
      <alignment horizontal="center"/>
    </xf>
    <xf numFmtId="0" fontId="48" fillId="7" borderId="0" xfId="0" applyFont="1" applyFill="1" applyAlignment="1">
      <alignment horizontal="center"/>
    </xf>
    <xf numFmtId="168" fontId="6" fillId="0" borderId="2" xfId="0" applyNumberFormat="1" applyFont="1" applyFill="1" applyBorder="1" applyProtection="1"/>
    <xf numFmtId="170" fontId="6" fillId="0" borderId="0" xfId="6" applyNumberFormat="1" applyFont="1" applyFill="1" applyBorder="1" applyAlignment="1" applyProtection="1">
      <alignment horizontal="right"/>
    </xf>
    <xf numFmtId="164" fontId="6" fillId="0" borderId="0" xfId="0" applyNumberFormat="1" applyFont="1" applyAlignment="1">
      <alignment horizontal="left" indent="10"/>
    </xf>
    <xf numFmtId="172" fontId="2" fillId="0" borderId="0" xfId="5" applyNumberFormat="1" applyFont="1" applyAlignment="1">
      <alignment horizontal="left" vertical="center" indent="3"/>
    </xf>
    <xf numFmtId="172" fontId="9" fillId="0" borderId="0" xfId="6" applyNumberFormat="1" applyFont="1" applyFill="1" applyBorder="1" applyAlignment="1">
      <alignment vertical="center" wrapText="1"/>
    </xf>
    <xf numFmtId="0" fontId="6" fillId="10" borderId="65" xfId="5" applyFont="1" applyFill="1" applyBorder="1"/>
    <xf numFmtId="182" fontId="20" fillId="10" borderId="58" xfId="5" applyNumberFormat="1" applyFont="1" applyFill="1" applyBorder="1" applyAlignment="1">
      <alignment horizontal="left" vertical="center"/>
    </xf>
    <xf numFmtId="0" fontId="77" fillId="10" borderId="118" xfId="5" applyFont="1" applyFill="1" applyBorder="1" applyAlignment="1">
      <alignment wrapText="1"/>
    </xf>
    <xf numFmtId="173" fontId="3" fillId="0" borderId="34" xfId="4" applyNumberFormat="1" applyFont="1" applyFill="1" applyBorder="1" applyAlignment="1" applyProtection="1">
      <alignment horizontal="center"/>
    </xf>
    <xf numFmtId="0" fontId="3" fillId="0" borderId="0" xfId="5" applyFont="1" applyBorder="1" applyAlignment="1">
      <alignment vertical="top" wrapText="1"/>
    </xf>
    <xf numFmtId="0" fontId="6" fillId="0" borderId="0" xfId="5" applyFont="1" applyAlignment="1">
      <alignment vertical="center" wrapText="1"/>
    </xf>
    <xf numFmtId="165" fontId="6" fillId="10" borderId="118" xfId="5" applyNumberFormat="1" applyFont="1" applyFill="1" applyBorder="1" applyAlignment="1">
      <alignment horizontal="left" vertical="center"/>
    </xf>
    <xf numFmtId="0" fontId="71" fillId="0" borderId="0" xfId="5" applyFont="1" applyBorder="1" applyAlignment="1">
      <alignment wrapText="1"/>
    </xf>
    <xf numFmtId="173" fontId="8" fillId="7" borderId="117" xfId="1" applyNumberFormat="1" applyFont="1" applyFill="1" applyBorder="1" applyAlignment="1" applyProtection="1">
      <alignment horizontal="center"/>
    </xf>
    <xf numFmtId="173" fontId="8" fillId="15" borderId="49" xfId="1" applyNumberFormat="1" applyFont="1" applyFill="1" applyBorder="1" applyAlignment="1" applyProtection="1">
      <alignment horizontal="center"/>
    </xf>
    <xf numFmtId="3" fontId="4" fillId="0" borderId="32" xfId="0" applyNumberFormat="1" applyFont="1" applyBorder="1" applyAlignment="1">
      <alignment horizontal="left"/>
    </xf>
    <xf numFmtId="3" fontId="5" fillId="0" borderId="29" xfId="0" applyNumberFormat="1" applyFont="1" applyBorder="1" applyAlignment="1">
      <alignment horizontal="left"/>
    </xf>
    <xf numFmtId="3" fontId="5" fillId="0" borderId="33" xfId="0" applyNumberFormat="1" applyFont="1" applyBorder="1" applyAlignment="1">
      <alignment horizontal="right"/>
    </xf>
    <xf numFmtId="164" fontId="19" fillId="0" borderId="31" xfId="0" applyNumberFormat="1" applyFont="1" applyBorder="1"/>
    <xf numFmtId="3" fontId="5" fillId="0" borderId="56" xfId="5" applyNumberFormat="1" applyFont="1" applyBorder="1" applyAlignment="1">
      <alignment horizontal="left"/>
    </xf>
    <xf numFmtId="3" fontId="5" fillId="0" borderId="0" xfId="5" applyNumberFormat="1" applyFont="1" applyBorder="1" applyAlignment="1">
      <alignment horizontal="left"/>
    </xf>
    <xf numFmtId="3" fontId="5" fillId="0" borderId="103" xfId="5" applyNumberFormat="1" applyFont="1" applyBorder="1" applyAlignment="1">
      <alignment horizontal="left"/>
    </xf>
    <xf numFmtId="3" fontId="4" fillId="0" borderId="69" xfId="0" applyNumberFormat="1" applyFont="1" applyBorder="1" applyAlignment="1">
      <alignment horizontal="left"/>
    </xf>
    <xf numFmtId="3" fontId="5" fillId="0" borderId="22" xfId="0" applyNumberFormat="1" applyFont="1" applyBorder="1" applyAlignment="1">
      <alignment horizontal="right"/>
    </xf>
    <xf numFmtId="0" fontId="5" fillId="0" borderId="0" xfId="5" applyFont="1"/>
    <xf numFmtId="8" fontId="5" fillId="0" borderId="0" xfId="5" applyNumberFormat="1" applyFont="1"/>
    <xf numFmtId="0" fontId="5" fillId="0" borderId="0" xfId="5" applyFont="1" applyAlignment="1">
      <alignment horizontal="left"/>
    </xf>
    <xf numFmtId="166" fontId="19" fillId="0" borderId="57" xfId="5" applyNumberFormat="1" applyFont="1" applyBorder="1"/>
    <xf numFmtId="3" fontId="5" fillId="10" borderId="26" xfId="5" applyNumberFormat="1" applyFont="1" applyFill="1" applyBorder="1" applyAlignment="1">
      <alignment horizontal="right" vertical="center"/>
    </xf>
    <xf numFmtId="8" fontId="5" fillId="10" borderId="26" xfId="5" applyNumberFormat="1" applyFont="1" applyFill="1" applyBorder="1" applyAlignment="1">
      <alignment vertical="center"/>
    </xf>
    <xf numFmtId="3" fontId="13" fillId="10" borderId="24" xfId="5" applyNumberFormat="1" applyFont="1" applyFill="1" applyBorder="1" applyAlignment="1">
      <alignment horizontal="right" vertical="center"/>
    </xf>
    <xf numFmtId="3" fontId="19" fillId="10" borderId="25" xfId="5" applyNumberFormat="1" applyFont="1" applyFill="1" applyBorder="1" applyAlignment="1">
      <alignment horizontal="center" vertical="center"/>
    </xf>
    <xf numFmtId="166" fontId="20" fillId="10" borderId="149" xfId="5" applyNumberFormat="1" applyFont="1" applyFill="1" applyBorder="1" applyAlignment="1">
      <alignment vertical="center"/>
    </xf>
    <xf numFmtId="0" fontId="71" fillId="0" borderId="0" xfId="5" applyFont="1" applyAlignment="1">
      <alignment vertical="center" wrapText="1"/>
    </xf>
    <xf numFmtId="6" fontId="6" fillId="0" borderId="0" xfId="0" applyNumberFormat="1" applyFont="1"/>
    <xf numFmtId="3" fontId="9" fillId="0" borderId="0" xfId="0" applyNumberFormat="1" applyFont="1" applyBorder="1" applyAlignment="1">
      <alignment horizontal="left"/>
    </xf>
    <xf numFmtId="3" fontId="10" fillId="0" borderId="77" xfId="0" applyNumberFormat="1" applyFont="1" applyBorder="1" applyAlignment="1">
      <alignment horizontal="center"/>
    </xf>
    <xf numFmtId="164" fontId="9" fillId="0" borderId="57" xfId="0" applyNumberFormat="1" applyFont="1" applyBorder="1"/>
    <xf numFmtId="3" fontId="6" fillId="0" borderId="56" xfId="0" applyNumberFormat="1" applyFont="1" applyBorder="1" applyAlignment="1">
      <alignment horizontal="left"/>
    </xf>
    <xf numFmtId="3" fontId="82" fillId="0" borderId="105" xfId="0" applyNumberFormat="1" applyFont="1" applyBorder="1" applyAlignment="1">
      <alignment horizontal="center"/>
    </xf>
    <xf numFmtId="164" fontId="81" fillId="0" borderId="122" xfId="0" applyNumberFormat="1" applyFont="1" applyBorder="1"/>
    <xf numFmtId="0" fontId="83" fillId="0" borderId="0" xfId="0" applyFont="1"/>
    <xf numFmtId="164" fontId="83" fillId="0" borderId="0" xfId="0" applyNumberFormat="1" applyFont="1"/>
    <xf numFmtId="6" fontId="83" fillId="0" borderId="0" xfId="0" applyNumberFormat="1" applyFont="1"/>
    <xf numFmtId="164" fontId="13" fillId="0" borderId="57" xfId="0" applyNumberFormat="1" applyFont="1" applyBorder="1"/>
    <xf numFmtId="3" fontId="82" fillId="0" borderId="12" xfId="0" applyNumberFormat="1" applyFont="1" applyBorder="1" applyAlignment="1">
      <alignment horizontal="center"/>
    </xf>
    <xf numFmtId="164" fontId="81" fillId="0" borderId="43" xfId="0" applyNumberFormat="1" applyFont="1" applyBorder="1"/>
    <xf numFmtId="164" fontId="19" fillId="0" borderId="57" xfId="0" applyNumberFormat="1" applyFont="1" applyBorder="1"/>
    <xf numFmtId="3" fontId="71" fillId="0" borderId="0" xfId="0" applyNumberFormat="1" applyFont="1" applyBorder="1"/>
    <xf numFmtId="3" fontId="12" fillId="0" borderId="107" xfId="0" applyNumberFormat="1" applyFont="1" applyBorder="1"/>
    <xf numFmtId="3" fontId="12" fillId="0" borderId="73" xfId="0" applyNumberFormat="1" applyFont="1" applyBorder="1"/>
    <xf numFmtId="3" fontId="12" fillId="0" borderId="108" xfId="0" applyNumberFormat="1" applyFont="1" applyBorder="1"/>
    <xf numFmtId="164" fontId="13" fillId="0" borderId="71" xfId="0" applyNumberFormat="1" applyFont="1" applyBorder="1"/>
    <xf numFmtId="181" fontId="71" fillId="0" borderId="0" xfId="7" applyNumberFormat="1" applyFont="1" applyBorder="1" applyAlignment="1">
      <alignment horizontal="right"/>
    </xf>
    <xf numFmtId="181" fontId="71" fillId="0" borderId="0" xfId="7" applyNumberFormat="1" applyFont="1" applyBorder="1"/>
    <xf numFmtId="3" fontId="6" fillId="9" borderId="11" xfId="0" applyNumberFormat="1" applyFont="1" applyFill="1" applyBorder="1" applyProtection="1"/>
    <xf numFmtId="167" fontId="6" fillId="9" borderId="11" xfId="0" applyNumberFormat="1" applyFont="1" applyFill="1" applyBorder="1" applyProtection="1"/>
    <xf numFmtId="0" fontId="32" fillId="4" borderId="27" xfId="0" applyFont="1" applyFill="1" applyBorder="1" applyAlignment="1" applyProtection="1">
      <alignment horizontal="center" vertical="center"/>
    </xf>
    <xf numFmtId="0" fontId="32" fillId="7" borderId="27" xfId="0" applyFont="1" applyFill="1" applyBorder="1" applyAlignment="1" applyProtection="1">
      <alignment horizontal="center" vertical="center"/>
    </xf>
    <xf numFmtId="0" fontId="84" fillId="0" borderId="0" xfId="0" applyFont="1" applyAlignment="1">
      <alignment horizontal="left" wrapText="1"/>
    </xf>
    <xf numFmtId="0" fontId="25" fillId="0" borderId="0" xfId="0" applyFont="1" applyAlignment="1">
      <alignment horizontal="left" wrapText="1"/>
    </xf>
    <xf numFmtId="0" fontId="24" fillId="0" borderId="0" xfId="0" applyFont="1" applyAlignment="1">
      <alignment horizontal="left" wrapText="1"/>
    </xf>
    <xf numFmtId="0" fontId="7" fillId="0" borderId="0" xfId="0" applyFont="1" applyAlignment="1">
      <alignment horizontal="left" wrapText="1"/>
    </xf>
    <xf numFmtId="0" fontId="28" fillId="0" borderId="0" xfId="0" applyFont="1" applyAlignment="1">
      <alignment horizontal="left" wrapText="1"/>
    </xf>
    <xf numFmtId="0" fontId="85" fillId="0" borderId="0" xfId="0" applyFont="1" applyAlignment="1">
      <alignment horizontal="left" wrapText="1"/>
    </xf>
    <xf numFmtId="0" fontId="51" fillId="0" borderId="0" xfId="0" applyFont="1" applyAlignment="1">
      <alignment horizontal="left" vertical="top" wrapText="1"/>
    </xf>
    <xf numFmtId="0" fontId="3" fillId="0" borderId="105" xfId="0" applyFont="1" applyBorder="1" applyAlignment="1">
      <alignment horizontal="center" wrapText="1"/>
    </xf>
    <xf numFmtId="0" fontId="3" fillId="0" borderId="10" xfId="0" applyFont="1" applyBorder="1" applyAlignment="1">
      <alignment horizontal="center" wrapText="1"/>
    </xf>
    <xf numFmtId="0" fontId="50" fillId="0" borderId="101" xfId="0" applyFont="1" applyBorder="1" applyAlignment="1">
      <alignment horizontal="center" vertical="center" wrapText="1"/>
    </xf>
    <xf numFmtId="0" fontId="50" fillId="0" borderId="121" xfId="0" applyFont="1" applyBorder="1" applyAlignment="1">
      <alignment horizontal="center" vertical="center" wrapText="1"/>
    </xf>
    <xf numFmtId="0" fontId="50" fillId="0" borderId="102" xfId="0" applyFont="1" applyBorder="1" applyAlignment="1">
      <alignment horizontal="center" vertical="center" wrapText="1"/>
    </xf>
    <xf numFmtId="173" fontId="8" fillId="7" borderId="125" xfId="1" applyNumberFormat="1" applyFont="1" applyFill="1" applyBorder="1" applyAlignment="1">
      <alignment horizontal="center"/>
    </xf>
    <xf numFmtId="173" fontId="8" fillId="7" borderId="117" xfId="1" applyNumberFormat="1" applyFont="1" applyFill="1" applyBorder="1" applyAlignment="1">
      <alignment horizontal="center"/>
    </xf>
    <xf numFmtId="0" fontId="7" fillId="0" borderId="49" xfId="0" applyFont="1" applyBorder="1" applyAlignment="1">
      <alignment horizontal="center"/>
    </xf>
    <xf numFmtId="0" fontId="2" fillId="0" borderId="64"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4" borderId="104" xfId="0" applyFont="1" applyFill="1" applyBorder="1" applyAlignment="1" applyProtection="1">
      <alignment horizontal="center" vertical="center" wrapText="1"/>
      <protection locked="0"/>
    </xf>
    <xf numFmtId="0" fontId="2" fillId="4" borderId="48" xfId="0" applyFont="1" applyFill="1" applyBorder="1" applyAlignment="1" applyProtection="1">
      <alignment horizontal="center" vertical="center" wrapText="1"/>
      <protection locked="0"/>
    </xf>
    <xf numFmtId="0" fontId="2" fillId="4" borderId="34" xfId="0" applyFont="1" applyFill="1" applyBorder="1" applyAlignment="1" applyProtection="1">
      <alignment horizontal="center" vertical="center" wrapText="1"/>
      <protection locked="0"/>
    </xf>
    <xf numFmtId="3" fontId="3" fillId="0" borderId="105" xfId="0" applyNumberFormat="1" applyFont="1" applyBorder="1" applyAlignment="1">
      <alignment horizontal="center" vertical="center" wrapText="1"/>
    </xf>
    <xf numFmtId="3" fontId="3" fillId="0" borderId="77" xfId="0" applyNumberFormat="1" applyFont="1" applyBorder="1" applyAlignment="1">
      <alignment horizontal="center" vertical="center" wrapText="1"/>
    </xf>
    <xf numFmtId="3" fontId="3" fillId="0" borderId="45" xfId="0" applyNumberFormat="1" applyFont="1" applyBorder="1" applyAlignment="1">
      <alignment horizontal="center" vertical="center" wrapText="1"/>
    </xf>
    <xf numFmtId="0" fontId="21" fillId="5" borderId="142" xfId="0" applyFont="1" applyFill="1" applyBorder="1" applyAlignment="1">
      <alignment horizontal="center" vertical="center"/>
    </xf>
    <xf numFmtId="0" fontId="21" fillId="5" borderId="143" xfId="0" applyFont="1" applyFill="1" applyBorder="1" applyAlignment="1">
      <alignment horizontal="center" vertical="center"/>
    </xf>
    <xf numFmtId="0" fontId="21" fillId="5" borderId="144" xfId="0" applyFont="1" applyFill="1" applyBorder="1" applyAlignment="1">
      <alignment horizontal="center" vertical="center"/>
    </xf>
    <xf numFmtId="0" fontId="32" fillId="0" borderId="23" xfId="0" applyFont="1" applyBorder="1" applyAlignment="1">
      <alignment horizontal="left" wrapText="1"/>
    </xf>
    <xf numFmtId="0" fontId="32" fillId="0" borderId="26" xfId="0" applyFont="1" applyBorder="1" applyAlignment="1">
      <alignment horizontal="left" wrapText="1"/>
    </xf>
    <xf numFmtId="0" fontId="2" fillId="0" borderId="26" xfId="0" applyFont="1" applyBorder="1" applyAlignment="1" applyProtection="1">
      <alignment horizontal="right" vertical="center" wrapText="1"/>
    </xf>
    <xf numFmtId="0" fontId="2" fillId="0" borderId="24" xfId="0" applyFont="1" applyBorder="1" applyAlignment="1" applyProtection="1">
      <alignment horizontal="right" vertical="center" wrapText="1"/>
    </xf>
    <xf numFmtId="0" fontId="2" fillId="0" borderId="145" xfId="0" applyFont="1" applyFill="1" applyBorder="1" applyAlignment="1" applyProtection="1">
      <alignment horizontal="center" vertical="center" wrapText="1"/>
    </xf>
    <xf numFmtId="0" fontId="2" fillId="0" borderId="146" xfId="0" applyFont="1" applyFill="1" applyBorder="1" applyAlignment="1" applyProtection="1">
      <alignment horizontal="center" vertical="center" wrapText="1"/>
    </xf>
    <xf numFmtId="0" fontId="2" fillId="0" borderId="147" xfId="0" applyFont="1" applyFill="1" applyBorder="1" applyAlignment="1" applyProtection="1">
      <alignment horizontal="center" vertical="center" wrapText="1"/>
    </xf>
    <xf numFmtId="3" fontId="2" fillId="0" borderId="120" xfId="0" applyNumberFormat="1" applyFont="1" applyBorder="1" applyAlignment="1">
      <alignment horizontal="center" vertical="center"/>
    </xf>
    <xf numFmtId="3" fontId="2" fillId="0" borderId="102" xfId="0" applyNumberFormat="1" applyFont="1" applyBorder="1" applyAlignment="1">
      <alignment horizontal="center" vertical="center"/>
    </xf>
    <xf numFmtId="3" fontId="2" fillId="0" borderId="56" xfId="0" applyNumberFormat="1" applyFont="1" applyBorder="1" applyAlignment="1">
      <alignment horizontal="center" vertical="center"/>
    </xf>
    <xf numFmtId="3" fontId="2" fillId="0" borderId="103" xfId="0" applyNumberFormat="1" applyFont="1" applyBorder="1" applyAlignment="1">
      <alignment horizontal="center" vertical="center"/>
    </xf>
    <xf numFmtId="3" fontId="13" fillId="5" borderId="53" xfId="0" applyNumberFormat="1" applyFont="1" applyFill="1" applyBorder="1" applyAlignment="1">
      <alignment wrapText="1"/>
    </xf>
    <xf numFmtId="0" fontId="13" fillId="5" borderId="44" xfId="0" applyFont="1" applyFill="1" applyBorder="1" applyAlignment="1">
      <alignment wrapText="1"/>
    </xf>
    <xf numFmtId="0" fontId="3" fillId="0" borderId="0" xfId="0" applyFont="1" applyAlignment="1">
      <alignment wrapText="1"/>
    </xf>
    <xf numFmtId="3" fontId="2" fillId="0" borderId="27" xfId="0" applyNumberFormat="1" applyFont="1" applyFill="1" applyBorder="1" applyAlignment="1">
      <alignment horizontal="center"/>
    </xf>
    <xf numFmtId="3" fontId="2" fillId="0" borderId="149" xfId="0" applyNumberFormat="1" applyFont="1" applyFill="1" applyBorder="1" applyAlignment="1">
      <alignment horizontal="center"/>
    </xf>
    <xf numFmtId="3" fontId="9" fillId="0" borderId="150" xfId="0" applyNumberFormat="1" applyFont="1" applyBorder="1" applyAlignment="1">
      <alignment horizontal="left"/>
    </xf>
    <xf numFmtId="3" fontId="9" fillId="0" borderId="151" xfId="0" applyNumberFormat="1" applyFont="1" applyBorder="1" applyAlignment="1">
      <alignment horizontal="left"/>
    </xf>
    <xf numFmtId="3" fontId="9" fillId="0" borderId="72" xfId="0" applyNumberFormat="1" applyFont="1" applyBorder="1" applyAlignment="1">
      <alignment horizontal="left"/>
    </xf>
    <xf numFmtId="3" fontId="6" fillId="0" borderId="124" xfId="0" applyNumberFormat="1" applyFont="1" applyBorder="1" applyAlignment="1">
      <alignment horizontal="left"/>
    </xf>
    <xf numFmtId="3" fontId="6" fillId="0" borderId="35" xfId="0" applyNumberFormat="1" applyFont="1" applyBorder="1" applyAlignment="1">
      <alignment horizontal="left"/>
    </xf>
    <xf numFmtId="3" fontId="6" fillId="0" borderId="148" xfId="0" applyNumberFormat="1" applyFont="1" applyBorder="1" applyAlignment="1">
      <alignment horizontal="left"/>
    </xf>
    <xf numFmtId="3" fontId="6" fillId="0" borderId="38" xfId="0" applyNumberFormat="1" applyFont="1" applyBorder="1" applyAlignment="1">
      <alignment horizontal="left"/>
    </xf>
    <xf numFmtId="3" fontId="4" fillId="0" borderId="13" xfId="0" applyNumberFormat="1" applyFont="1" applyBorder="1" applyAlignment="1">
      <alignment horizontal="left"/>
    </xf>
    <xf numFmtId="3" fontId="4" fillId="0" borderId="15" xfId="0" applyNumberFormat="1" applyFont="1" applyBorder="1" applyAlignment="1">
      <alignment horizontal="left"/>
    </xf>
    <xf numFmtId="3" fontId="4" fillId="0" borderId="14" xfId="0" applyNumberFormat="1" applyFont="1" applyBorder="1" applyAlignment="1">
      <alignment horizontal="left"/>
    </xf>
    <xf numFmtId="3" fontId="4" fillId="0" borderId="90" xfId="0" applyNumberFormat="1" applyFont="1" applyBorder="1" applyAlignment="1">
      <alignment horizontal="left"/>
    </xf>
    <xf numFmtId="3" fontId="5" fillId="0" borderId="86" xfId="0" applyNumberFormat="1" applyFont="1" applyBorder="1" applyAlignment="1">
      <alignment horizontal="left"/>
    </xf>
    <xf numFmtId="3" fontId="5" fillId="0" borderId="87" xfId="0" applyNumberFormat="1" applyFont="1" applyBorder="1" applyAlignment="1">
      <alignment horizontal="left"/>
    </xf>
    <xf numFmtId="3" fontId="6" fillId="0" borderId="96" xfId="0" applyNumberFormat="1" applyFont="1" applyBorder="1" applyAlignment="1">
      <alignment horizontal="left"/>
    </xf>
    <xf numFmtId="3" fontId="6" fillId="0" borderId="128" xfId="0" applyNumberFormat="1" applyFont="1" applyBorder="1" applyAlignment="1">
      <alignment horizontal="left"/>
    </xf>
    <xf numFmtId="0" fontId="3" fillId="0" borderId="0" xfId="0" applyFont="1" applyBorder="1" applyAlignment="1">
      <alignment wrapText="1"/>
    </xf>
    <xf numFmtId="0" fontId="2" fillId="0" borderId="125" xfId="0" applyFont="1" applyFill="1" applyBorder="1" applyAlignment="1" applyProtection="1">
      <alignment horizontal="center" vertical="center" wrapText="1"/>
    </xf>
    <xf numFmtId="0" fontId="2" fillId="0" borderId="118" xfId="0" applyFont="1" applyFill="1" applyBorder="1" applyAlignment="1" applyProtection="1">
      <alignment horizontal="center" vertical="center" wrapText="1"/>
    </xf>
    <xf numFmtId="0" fontId="2" fillId="4" borderId="119" xfId="0" applyFont="1" applyFill="1" applyBorder="1" applyAlignment="1" applyProtection="1">
      <alignment horizontal="center" vertical="center" wrapText="1"/>
    </xf>
    <xf numFmtId="0" fontId="2" fillId="0" borderId="64" xfId="0" applyFont="1" applyFill="1" applyBorder="1" applyAlignment="1" applyProtection="1">
      <alignment horizontal="right" vertical="center" wrapText="1"/>
    </xf>
    <xf numFmtId="0" fontId="2" fillId="0" borderId="15" xfId="0" applyFont="1" applyFill="1" applyBorder="1" applyAlignment="1" applyProtection="1">
      <alignment horizontal="right" vertical="center" wrapText="1"/>
    </xf>
    <xf numFmtId="3" fontId="6" fillId="0" borderId="105" xfId="0" applyNumberFormat="1" applyFont="1" applyBorder="1" applyAlignment="1">
      <alignment horizontal="center" vertical="center" wrapText="1"/>
    </xf>
    <xf numFmtId="3" fontId="6" fillId="0" borderId="77" xfId="0" applyNumberFormat="1" applyFont="1" applyBorder="1" applyAlignment="1">
      <alignment horizontal="center" vertical="center" wrapText="1"/>
    </xf>
    <xf numFmtId="3" fontId="6" fillId="0" borderId="45" xfId="0" applyNumberFormat="1" applyFont="1" applyBorder="1" applyAlignment="1">
      <alignment horizontal="center" vertical="center" wrapText="1"/>
    </xf>
    <xf numFmtId="0" fontId="2" fillId="4" borderId="125" xfId="0" applyFont="1" applyFill="1" applyBorder="1" applyAlignment="1" applyProtection="1">
      <alignment horizontal="center" vertical="center" wrapText="1"/>
      <protection locked="0"/>
    </xf>
    <xf numFmtId="0" fontId="2" fillId="4" borderId="118" xfId="0" applyFont="1" applyFill="1" applyBorder="1" applyAlignment="1" applyProtection="1">
      <alignment horizontal="center" vertical="center" wrapText="1"/>
      <protection locked="0"/>
    </xf>
    <xf numFmtId="0" fontId="2" fillId="4" borderId="119" xfId="0" applyFont="1" applyFill="1" applyBorder="1" applyAlignment="1" applyProtection="1">
      <alignment horizontal="center" vertical="center" wrapText="1"/>
      <protection locked="0"/>
    </xf>
    <xf numFmtId="0" fontId="32" fillId="0" borderId="69" xfId="0" applyFont="1" applyBorder="1" applyAlignment="1">
      <alignment horizontal="left" wrapText="1"/>
    </xf>
    <xf numFmtId="0" fontId="32" fillId="0" borderId="48" xfId="0" applyFont="1" applyBorder="1" applyAlignment="1">
      <alignment horizontal="left" wrapText="1"/>
    </xf>
    <xf numFmtId="0" fontId="2" fillId="0" borderId="48" xfId="0" applyFont="1" applyBorder="1" applyAlignment="1" applyProtection="1">
      <alignment horizontal="right" vertical="center" wrapText="1"/>
    </xf>
    <xf numFmtId="0" fontId="2" fillId="0" borderId="22" xfId="0" applyFont="1" applyBorder="1" applyAlignment="1" applyProtection="1">
      <alignment horizontal="right" vertical="center" wrapText="1"/>
    </xf>
    <xf numFmtId="164" fontId="3" fillId="0" borderId="0" xfId="0" applyNumberFormat="1" applyFont="1" applyBorder="1" applyAlignment="1">
      <alignment horizontal="left" vertical="top" wrapText="1"/>
    </xf>
    <xf numFmtId="0" fontId="3" fillId="0" borderId="0" xfId="0" applyFont="1" applyBorder="1" applyAlignment="1">
      <alignment vertical="top" wrapText="1"/>
    </xf>
    <xf numFmtId="3" fontId="4" fillId="0" borderId="107" xfId="0" applyNumberFormat="1" applyFont="1" applyBorder="1" applyAlignment="1">
      <alignment horizontal="left"/>
    </xf>
    <xf numFmtId="3" fontId="5" fillId="0" borderId="108" xfId="0" applyNumberFormat="1" applyFont="1" applyBorder="1" applyAlignment="1">
      <alignment horizontal="left"/>
    </xf>
    <xf numFmtId="3" fontId="5" fillId="0" borderId="73" xfId="0" applyNumberFormat="1" applyFont="1" applyBorder="1" applyAlignment="1">
      <alignment horizontal="left"/>
    </xf>
    <xf numFmtId="3" fontId="2" fillId="0" borderId="121" xfId="0" applyNumberFormat="1" applyFont="1" applyBorder="1" applyAlignment="1">
      <alignment horizontal="center" vertical="center"/>
    </xf>
    <xf numFmtId="3" fontId="2" fillId="0" borderId="69" xfId="0" applyNumberFormat="1" applyFont="1" applyBorder="1" applyAlignment="1">
      <alignment horizontal="center" vertical="center"/>
    </xf>
    <xf numFmtId="3" fontId="2" fillId="0" borderId="48" xfId="0" applyNumberFormat="1" applyFont="1" applyBorder="1" applyAlignment="1">
      <alignment horizontal="center" vertical="center"/>
    </xf>
    <xf numFmtId="0" fontId="34" fillId="0" borderId="0" xfId="0" applyFont="1" applyAlignment="1">
      <alignment horizontal="center" vertical="top" wrapText="1"/>
    </xf>
    <xf numFmtId="173" fontId="8" fillId="7" borderId="125" xfId="1" applyNumberFormat="1" applyFont="1" applyFill="1" applyBorder="1" applyAlignment="1" applyProtection="1">
      <alignment horizontal="center"/>
      <protection locked="0"/>
    </xf>
    <xf numFmtId="173" fontId="8" fillId="7" borderId="117" xfId="1" applyNumberFormat="1" applyFont="1" applyFill="1" applyBorder="1" applyAlignment="1" applyProtection="1">
      <alignment horizontal="center"/>
      <protection locked="0"/>
    </xf>
    <xf numFmtId="0" fontId="21" fillId="10" borderId="142" xfId="5" applyFont="1" applyFill="1" applyBorder="1" applyAlignment="1">
      <alignment horizontal="center" vertical="center"/>
    </xf>
    <xf numFmtId="0" fontId="21" fillId="10" borderId="143" xfId="5" applyFont="1" applyFill="1" applyBorder="1" applyAlignment="1">
      <alignment horizontal="center" vertical="center"/>
    </xf>
    <xf numFmtId="0" fontId="21" fillId="10" borderId="144" xfId="5" applyFont="1" applyFill="1" applyBorder="1" applyAlignment="1">
      <alignment horizontal="center" vertical="center"/>
    </xf>
    <xf numFmtId="0" fontId="37" fillId="0" borderId="23" xfId="5" applyFont="1" applyBorder="1" applyAlignment="1">
      <alignment horizontal="left" wrapText="1"/>
    </xf>
    <xf numFmtId="0" fontId="37" fillId="0" borderId="26" xfId="5" applyFont="1" applyBorder="1" applyAlignment="1">
      <alignment horizontal="left" wrapText="1"/>
    </xf>
    <xf numFmtId="0" fontId="2" fillId="0" borderId="26" xfId="5" applyFont="1" applyBorder="1" applyAlignment="1">
      <alignment horizontal="right" vertical="center" wrapText="1"/>
    </xf>
    <xf numFmtId="0" fontId="2" fillId="0" borderId="24" xfId="5" applyFont="1" applyBorder="1" applyAlignment="1">
      <alignment horizontal="right" vertical="center" wrapText="1"/>
    </xf>
    <xf numFmtId="3" fontId="2" fillId="0" borderId="120" xfId="5" applyNumberFormat="1" applyFont="1" applyBorder="1" applyAlignment="1">
      <alignment horizontal="center" vertical="center"/>
    </xf>
    <xf numFmtId="3" fontId="2" fillId="0" borderId="121" xfId="5" applyNumberFormat="1" applyFont="1" applyBorder="1" applyAlignment="1">
      <alignment horizontal="center" vertical="center"/>
    </xf>
    <xf numFmtId="3" fontId="2" fillId="0" borderId="69" xfId="5" applyNumberFormat="1" applyFont="1" applyBorder="1" applyAlignment="1">
      <alignment horizontal="center" vertical="center"/>
    </xf>
    <xf numFmtId="3" fontId="2" fillId="0" borderId="48" xfId="5" applyNumberFormat="1" applyFont="1" applyBorder="1" applyAlignment="1">
      <alignment horizontal="center" vertical="center"/>
    </xf>
    <xf numFmtId="3" fontId="6" fillId="0" borderId="105" xfId="5" applyNumberFormat="1" applyFont="1" applyBorder="1" applyAlignment="1">
      <alignment horizontal="center" vertical="center" wrapText="1"/>
    </xf>
    <xf numFmtId="3" fontId="6" fillId="0" borderId="10" xfId="5" applyNumberFormat="1" applyFont="1" applyBorder="1" applyAlignment="1">
      <alignment horizontal="center" vertical="center" wrapText="1"/>
    </xf>
    <xf numFmtId="0" fontId="2" fillId="0" borderId="125" xfId="5" applyFont="1" applyFill="1" applyBorder="1" applyAlignment="1" applyProtection="1">
      <alignment horizontal="center" vertical="center" wrapText="1"/>
    </xf>
    <xf numFmtId="0" fontId="2" fillId="0" borderId="118" xfId="5" applyFont="1" applyFill="1" applyBorder="1" applyAlignment="1" applyProtection="1">
      <alignment horizontal="center" vertical="center" wrapText="1"/>
    </xf>
    <xf numFmtId="0" fontId="2" fillId="0" borderId="119" xfId="5" applyFont="1" applyFill="1" applyBorder="1" applyAlignment="1" applyProtection="1">
      <alignment horizontal="center" vertical="center" wrapText="1"/>
    </xf>
    <xf numFmtId="0" fontId="2" fillId="4" borderId="125" xfId="5" applyFont="1" applyFill="1" applyBorder="1" applyAlignment="1" applyProtection="1">
      <alignment horizontal="center" vertical="center" wrapText="1"/>
      <protection locked="0"/>
    </xf>
    <xf numFmtId="0" fontId="2" fillId="4" borderId="118" xfId="5" applyFont="1" applyFill="1" applyBorder="1" applyAlignment="1" applyProtection="1">
      <alignment horizontal="center" vertical="center" wrapText="1"/>
      <protection locked="0"/>
    </xf>
    <xf numFmtId="0" fontId="2" fillId="4" borderId="119" xfId="5" applyFont="1" applyFill="1" applyBorder="1" applyAlignment="1" applyProtection="1">
      <alignment horizontal="center" vertical="center" wrapText="1"/>
      <protection locked="0"/>
    </xf>
    <xf numFmtId="0" fontId="41" fillId="0" borderId="0" xfId="5" applyFont="1" applyAlignment="1">
      <alignment horizontal="center" vertical="top" wrapText="1"/>
    </xf>
    <xf numFmtId="0" fontId="25" fillId="0" borderId="0" xfId="5" applyFont="1" applyAlignment="1">
      <alignment horizontal="left" wrapText="1"/>
    </xf>
    <xf numFmtId="3" fontId="4" fillId="0" borderId="150" xfId="5" applyNumberFormat="1" applyFont="1" applyBorder="1" applyAlignment="1">
      <alignment horizontal="left"/>
    </xf>
    <xf numFmtId="3" fontId="4" fillId="0" borderId="151" xfId="5" applyNumberFormat="1" applyFont="1" applyBorder="1" applyAlignment="1">
      <alignment horizontal="left"/>
    </xf>
    <xf numFmtId="3" fontId="4" fillId="0" borderId="72" xfId="5" applyNumberFormat="1" applyFont="1" applyBorder="1" applyAlignment="1">
      <alignment horizontal="left"/>
    </xf>
    <xf numFmtId="3" fontId="6" fillId="0" borderId="148" xfId="5" applyNumberFormat="1" applyFont="1" applyBorder="1" applyAlignment="1">
      <alignment horizontal="left"/>
    </xf>
    <xf numFmtId="3" fontId="6" fillId="0" borderId="38" xfId="5" applyNumberFormat="1" applyFont="1" applyBorder="1" applyAlignment="1">
      <alignment horizontal="left"/>
    </xf>
    <xf numFmtId="0" fontId="3" fillId="0" borderId="0" xfId="5" applyFont="1" applyAlignment="1">
      <alignment wrapText="1"/>
    </xf>
    <xf numFmtId="3" fontId="2" fillId="0" borderId="116" xfId="5" applyNumberFormat="1" applyFont="1" applyBorder="1" applyAlignment="1">
      <alignment horizontal="left" wrapText="1"/>
    </xf>
    <xf numFmtId="3" fontId="2" fillId="0" borderId="118" xfId="5" applyNumberFormat="1" applyFont="1" applyBorder="1" applyAlignment="1">
      <alignment horizontal="left" wrapText="1"/>
    </xf>
    <xf numFmtId="3" fontId="2" fillId="0" borderId="117" xfId="5" applyNumberFormat="1" applyFont="1" applyBorder="1" applyAlignment="1">
      <alignment horizontal="left" wrapText="1"/>
    </xf>
    <xf numFmtId="3" fontId="2" fillId="0" borderId="27" xfId="5" applyNumberFormat="1" applyFont="1" applyFill="1" applyBorder="1" applyAlignment="1">
      <alignment horizontal="center"/>
    </xf>
    <xf numFmtId="3" fontId="2" fillId="0" borderId="149" xfId="5" applyNumberFormat="1" applyFont="1" applyFill="1" applyBorder="1" applyAlignment="1">
      <alignment horizontal="center"/>
    </xf>
    <xf numFmtId="3" fontId="3" fillId="0" borderId="102" xfId="5" applyNumberFormat="1" applyFont="1" applyBorder="1" applyAlignment="1">
      <alignment horizontal="center" vertical="center" wrapText="1"/>
    </xf>
    <xf numFmtId="3" fontId="3" fillId="0" borderId="22" xfId="5" applyNumberFormat="1" applyFont="1" applyBorder="1" applyAlignment="1">
      <alignment horizontal="center" vertical="center" wrapText="1"/>
    </xf>
    <xf numFmtId="3" fontId="9" fillId="0" borderId="150" xfId="5" applyNumberFormat="1" applyFont="1" applyBorder="1" applyAlignment="1">
      <alignment horizontal="left"/>
    </xf>
    <xf numFmtId="3" fontId="9" fillId="0" borderId="151" xfId="5" applyNumberFormat="1" applyFont="1" applyBorder="1" applyAlignment="1">
      <alignment horizontal="left"/>
    </xf>
    <xf numFmtId="3" fontId="9" fillId="0" borderId="72" xfId="5" applyNumberFormat="1" applyFont="1" applyBorder="1" applyAlignment="1">
      <alignment horizontal="left"/>
    </xf>
    <xf numFmtId="3" fontId="13" fillId="10" borderId="53" xfId="0" applyNumberFormat="1" applyFont="1" applyFill="1" applyBorder="1" applyAlignment="1">
      <alignment wrapText="1"/>
    </xf>
    <xf numFmtId="0" fontId="13" fillId="10" borderId="44" xfId="0" applyFont="1" applyFill="1" applyBorder="1" applyAlignment="1">
      <alignment wrapText="1"/>
    </xf>
    <xf numFmtId="3" fontId="6" fillId="0" borderId="124" xfId="5" applyNumberFormat="1" applyFont="1" applyBorder="1" applyAlignment="1">
      <alignment horizontal="left"/>
    </xf>
    <xf numFmtId="3" fontId="6" fillId="0" borderId="35" xfId="5" applyNumberFormat="1" applyFont="1" applyBorder="1" applyAlignment="1">
      <alignment horizontal="left"/>
    </xf>
    <xf numFmtId="3" fontId="6" fillId="0" borderId="96" xfId="5" applyNumberFormat="1" applyFont="1" applyBorder="1" applyAlignment="1">
      <alignment horizontal="left"/>
    </xf>
    <xf numFmtId="3" fontId="6" fillId="0" borderId="128" xfId="5" applyNumberFormat="1" applyFont="1" applyBorder="1" applyAlignment="1">
      <alignment horizontal="left"/>
    </xf>
    <xf numFmtId="3" fontId="5" fillId="0" borderId="107" xfId="0" applyNumberFormat="1" applyFont="1" applyBorder="1" applyAlignment="1">
      <alignment horizontal="left"/>
    </xf>
    <xf numFmtId="0" fontId="72" fillId="0" borderId="101" xfId="6" applyFont="1" applyFill="1" applyBorder="1" applyAlignment="1">
      <alignment horizontal="center" vertical="center" wrapText="1"/>
    </xf>
    <xf numFmtId="0" fontId="72" fillId="0" borderId="121" xfId="6" applyFont="1" applyFill="1" applyBorder="1" applyAlignment="1">
      <alignment horizontal="center" vertical="center" wrapText="1"/>
    </xf>
    <xf numFmtId="0" fontId="72" fillId="0" borderId="102" xfId="6" applyFont="1" applyFill="1" applyBorder="1" applyAlignment="1">
      <alignment horizontal="center" vertical="center" wrapText="1"/>
    </xf>
    <xf numFmtId="0" fontId="72" fillId="0" borderId="104" xfId="6" applyFont="1" applyFill="1" applyBorder="1" applyAlignment="1">
      <alignment horizontal="center" vertical="center" wrapText="1"/>
    </xf>
    <xf numFmtId="0" fontId="72" fillId="0" borderId="48" xfId="6" applyFont="1" applyFill="1" applyBorder="1" applyAlignment="1">
      <alignment horizontal="center" vertical="center" wrapText="1"/>
    </xf>
    <xf numFmtId="0" fontId="72" fillId="0" borderId="22" xfId="6" applyFont="1" applyFill="1" applyBorder="1" applyAlignment="1">
      <alignment horizontal="center" vertical="center" wrapText="1"/>
    </xf>
    <xf numFmtId="0" fontId="53" fillId="0" borderId="142" xfId="6" applyFont="1" applyBorder="1" applyAlignment="1">
      <alignment horizontal="center" vertical="center" wrapText="1"/>
    </xf>
    <xf numFmtId="0" fontId="53" fillId="0" borderId="143" xfId="6" applyFont="1" applyBorder="1" applyAlignment="1">
      <alignment horizontal="center" vertical="center" wrapText="1"/>
    </xf>
    <xf numFmtId="0" fontId="76" fillId="0" borderId="56" xfId="6" applyFont="1" applyBorder="1" applyAlignment="1">
      <alignment horizontal="left" wrapText="1" indent="1"/>
    </xf>
    <xf numFmtId="0" fontId="76" fillId="0" borderId="0" xfId="6" applyFont="1" applyAlignment="1">
      <alignment horizontal="left" wrapText="1" indent="1"/>
    </xf>
    <xf numFmtId="0" fontId="7" fillId="0" borderId="13" xfId="6" applyFont="1" applyFill="1" applyBorder="1" applyAlignment="1" applyProtection="1">
      <alignment horizontal="center" vertical="center" wrapText="1"/>
    </xf>
    <xf numFmtId="0" fontId="7" fillId="0" borderId="28" xfId="6" applyFont="1" applyFill="1" applyBorder="1" applyAlignment="1" applyProtection="1">
      <alignment horizontal="center" vertical="center" wrapText="1"/>
    </xf>
    <xf numFmtId="3" fontId="2" fillId="0" borderId="116" xfId="6" applyNumberFormat="1" applyFont="1" applyBorder="1" applyAlignment="1"/>
    <xf numFmtId="3" fontId="2" fillId="0" borderId="118" xfId="6" applyNumberFormat="1" applyFont="1" applyBorder="1" applyAlignment="1"/>
    <xf numFmtId="3" fontId="2" fillId="0" borderId="117" xfId="6" applyNumberFormat="1" applyFont="1" applyBorder="1" applyAlignment="1"/>
    <xf numFmtId="0" fontId="2" fillId="9" borderId="23" xfId="6" applyFont="1" applyFill="1" applyBorder="1" applyAlignment="1" applyProtection="1">
      <alignment horizontal="center" wrapText="1"/>
    </xf>
    <xf numFmtId="0" fontId="2" fillId="9" borderId="149" xfId="6" applyFont="1" applyFill="1" applyBorder="1" applyAlignment="1" applyProtection="1">
      <alignment horizontal="center" wrapText="1"/>
    </xf>
    <xf numFmtId="0" fontId="32" fillId="0" borderId="23" xfId="6" applyFont="1" applyBorder="1" applyAlignment="1">
      <alignment horizontal="left" wrapText="1"/>
    </xf>
    <xf numFmtId="0" fontId="32" fillId="0" borderId="26" xfId="6" applyFont="1" applyBorder="1" applyAlignment="1">
      <alignment horizontal="left" wrapText="1"/>
    </xf>
    <xf numFmtId="0" fontId="2" fillId="0" borderId="26" xfId="6" applyFont="1" applyBorder="1" applyAlignment="1" applyProtection="1">
      <alignment horizontal="right" vertical="center" wrapText="1"/>
    </xf>
    <xf numFmtId="0" fontId="2" fillId="0" borderId="24" xfId="6" applyFont="1" applyBorder="1" applyAlignment="1" applyProtection="1">
      <alignment horizontal="right" vertical="center" wrapText="1"/>
    </xf>
    <xf numFmtId="3" fontId="46" fillId="0" borderId="120" xfId="6" applyNumberFormat="1" applyFont="1" applyBorder="1" applyAlignment="1">
      <alignment horizontal="center" vertical="center" wrapText="1"/>
    </xf>
    <xf numFmtId="3" fontId="46" fillId="0" borderId="121" xfId="6" applyNumberFormat="1" applyFont="1" applyBorder="1" applyAlignment="1">
      <alignment horizontal="center" vertical="center" wrapText="1"/>
    </xf>
    <xf numFmtId="3" fontId="46" fillId="0" borderId="69" xfId="6" applyNumberFormat="1" applyFont="1" applyBorder="1" applyAlignment="1">
      <alignment horizontal="center" vertical="center" wrapText="1"/>
    </xf>
    <xf numFmtId="3" fontId="46" fillId="0" borderId="48" xfId="6" applyNumberFormat="1" applyFont="1" applyBorder="1" applyAlignment="1">
      <alignment horizontal="center" vertical="center" wrapText="1"/>
    </xf>
    <xf numFmtId="3" fontId="6" fillId="0" borderId="121" xfId="6" applyNumberFormat="1" applyFont="1" applyBorder="1" applyAlignment="1">
      <alignment horizontal="center" vertical="center" wrapText="1"/>
    </xf>
    <xf numFmtId="3" fontId="6" fillId="0" borderId="48" xfId="6" applyNumberFormat="1" applyFont="1" applyBorder="1" applyAlignment="1">
      <alignment horizontal="center" vertical="center" wrapText="1"/>
    </xf>
    <xf numFmtId="3" fontId="3" fillId="0" borderId="102" xfId="6" applyNumberFormat="1" applyFont="1" applyBorder="1" applyAlignment="1">
      <alignment horizontal="center" vertical="center" wrapText="1"/>
    </xf>
    <xf numFmtId="3" fontId="3" fillId="0" borderId="22" xfId="6" applyNumberFormat="1" applyFont="1" applyBorder="1" applyAlignment="1">
      <alignment horizontal="center" vertical="center" wrapText="1"/>
    </xf>
    <xf numFmtId="0" fontId="2" fillId="0" borderId="145" xfId="6" applyFont="1" applyFill="1" applyBorder="1" applyAlignment="1" applyProtection="1">
      <alignment horizontal="center" vertical="center" wrapText="1"/>
    </xf>
    <xf numFmtId="0" fontId="2" fillId="0" borderId="146" xfId="6" applyFont="1" applyFill="1" applyBorder="1" applyAlignment="1" applyProtection="1">
      <alignment horizontal="center" vertical="center" wrapText="1"/>
    </xf>
    <xf numFmtId="0" fontId="2" fillId="0" borderId="147" xfId="6" applyFont="1" applyFill="1" applyBorder="1" applyAlignment="1" applyProtection="1">
      <alignment horizontal="center" vertical="center" wrapText="1"/>
    </xf>
    <xf numFmtId="0" fontId="6" fillId="4" borderId="125" xfId="5" applyFont="1" applyFill="1" applyBorder="1" applyAlignment="1" applyProtection="1">
      <alignment horizontal="center" vertical="center" wrapText="1"/>
      <protection locked="0"/>
    </xf>
    <xf numFmtId="0" fontId="6" fillId="4" borderId="118" xfId="5" applyFont="1" applyFill="1" applyBorder="1" applyAlignment="1" applyProtection="1">
      <alignment horizontal="center" vertical="center" wrapText="1"/>
      <protection locked="0"/>
    </xf>
    <xf numFmtId="0" fontId="6" fillId="4" borderId="121" xfId="5" applyFont="1" applyFill="1" applyBorder="1" applyAlignment="1" applyProtection="1">
      <alignment horizontal="center" vertical="center" wrapText="1"/>
      <protection locked="0"/>
    </xf>
    <xf numFmtId="0" fontId="6" fillId="4" borderId="122" xfId="5" applyFont="1" applyFill="1" applyBorder="1" applyAlignment="1" applyProtection="1">
      <alignment horizontal="center" vertical="center" wrapText="1"/>
      <protection locked="0"/>
    </xf>
    <xf numFmtId="0" fontId="80" fillId="0" borderId="69" xfId="5" applyFont="1" applyBorder="1" applyAlignment="1">
      <alignment horizontal="left" vertical="center" wrapText="1"/>
    </xf>
    <xf numFmtId="0" fontId="80" fillId="0" borderId="48" xfId="5" applyFont="1" applyBorder="1" applyAlignment="1">
      <alignment horizontal="left" vertical="center" wrapText="1"/>
    </xf>
    <xf numFmtId="0" fontId="13" fillId="10" borderId="53" xfId="5" applyFont="1" applyFill="1" applyBorder="1" applyAlignment="1">
      <alignment horizontal="left" vertical="center"/>
    </xf>
    <xf numFmtId="0" fontId="13" fillId="10" borderId="44" xfId="5" applyFont="1" applyFill="1" applyBorder="1" applyAlignment="1">
      <alignment horizontal="left" vertical="center"/>
    </xf>
    <xf numFmtId="0" fontId="25" fillId="0" borderId="56" xfId="5" applyFont="1" applyBorder="1" applyAlignment="1">
      <alignment horizontal="left" wrapText="1"/>
    </xf>
    <xf numFmtId="0" fontId="25" fillId="0" borderId="0" xfId="5" applyFont="1" applyBorder="1" applyAlignment="1">
      <alignment horizontal="left" wrapText="1"/>
    </xf>
    <xf numFmtId="0" fontId="71" fillId="0" borderId="50" xfId="5" applyFont="1" applyBorder="1" applyAlignment="1">
      <alignment horizontal="left" wrapText="1"/>
    </xf>
    <xf numFmtId="0" fontId="71" fillId="0" borderId="0" xfId="5" applyFont="1" applyBorder="1" applyAlignment="1">
      <alignment horizontal="left" wrapText="1"/>
    </xf>
    <xf numFmtId="0" fontId="75" fillId="0" borderId="56" xfId="6" applyFont="1" applyBorder="1" applyAlignment="1">
      <alignment horizontal="left" vertical="top" wrapText="1" indent="1"/>
    </xf>
    <xf numFmtId="0" fontId="75" fillId="0" borderId="0" xfId="6" applyFont="1" applyAlignment="1">
      <alignment horizontal="left" vertical="top" wrapText="1" indent="1"/>
    </xf>
    <xf numFmtId="0" fontId="52" fillId="0" borderId="0" xfId="6" applyFont="1" applyAlignment="1">
      <alignment horizontal="center" vertical="center" wrapText="1"/>
    </xf>
    <xf numFmtId="0" fontId="74" fillId="0" borderId="0" xfId="6" applyFont="1" applyAlignment="1">
      <alignment horizontal="center"/>
    </xf>
    <xf numFmtId="0" fontId="7" fillId="0" borderId="125" xfId="0" applyFont="1" applyBorder="1" applyAlignment="1">
      <alignment horizontal="center"/>
    </xf>
    <xf numFmtId="0" fontId="7" fillId="0" borderId="117" xfId="0" applyFont="1" applyBorder="1" applyAlignment="1">
      <alignment horizontal="center"/>
    </xf>
    <xf numFmtId="3" fontId="4" fillId="0" borderId="13" xfId="5" applyNumberFormat="1" applyFont="1" applyBorder="1" applyAlignment="1">
      <alignment horizontal="left"/>
    </xf>
    <xf numFmtId="3" fontId="4" fillId="0" borderId="15" xfId="5" applyNumberFormat="1" applyFont="1" applyBorder="1" applyAlignment="1">
      <alignment horizontal="left"/>
    </xf>
    <xf numFmtId="3" fontId="4" fillId="0" borderId="14" xfId="5" applyNumberFormat="1" applyFont="1" applyBorder="1" applyAlignment="1">
      <alignment horizontal="left"/>
    </xf>
    <xf numFmtId="3" fontId="13" fillId="10" borderId="23" xfId="0" applyNumberFormat="1" applyFont="1" applyFill="1" applyBorder="1" applyAlignment="1">
      <alignment vertical="center" wrapText="1"/>
    </xf>
    <xf numFmtId="0" fontId="13" fillId="10" borderId="26" xfId="0" applyFont="1" applyFill="1" applyBorder="1" applyAlignment="1">
      <alignment vertical="center" wrapText="1"/>
    </xf>
    <xf numFmtId="3" fontId="6" fillId="0" borderId="93" xfId="5" applyNumberFormat="1" applyFont="1" applyBorder="1" applyAlignment="1">
      <alignment horizontal="left"/>
    </xf>
    <xf numFmtId="3" fontId="6" fillId="0" borderId="95" xfId="5" applyNumberFormat="1" applyFont="1" applyBorder="1" applyAlignment="1">
      <alignment horizontal="left"/>
    </xf>
    <xf numFmtId="0" fontId="3" fillId="0" borderId="0" xfId="0" applyFont="1" applyAlignment="1">
      <alignment horizontal="left" vertical="top" wrapText="1"/>
    </xf>
    <xf numFmtId="0" fontId="3" fillId="0" borderId="0" xfId="0" applyFont="1" applyAlignment="1">
      <alignment vertical="top" wrapText="1"/>
    </xf>
    <xf numFmtId="3" fontId="81" fillId="0" borderId="150" xfId="0" applyNumberFormat="1" applyFont="1" applyBorder="1" applyAlignment="1">
      <alignment horizontal="left"/>
    </xf>
    <xf numFmtId="3" fontId="81" fillId="0" borderId="151" xfId="0" applyNumberFormat="1" applyFont="1" applyBorder="1" applyAlignment="1">
      <alignment horizontal="left"/>
    </xf>
    <xf numFmtId="3" fontId="81" fillId="0" borderId="72" xfId="0" applyNumberFormat="1" applyFont="1" applyBorder="1" applyAlignment="1">
      <alignment horizontal="left"/>
    </xf>
    <xf numFmtId="3" fontId="2" fillId="0" borderId="13" xfId="0" applyNumberFormat="1" applyFont="1" applyBorder="1" applyAlignment="1">
      <alignment horizontal="left" wrapText="1"/>
    </xf>
    <xf numFmtId="3" fontId="2" fillId="0" borderId="15" xfId="0" applyNumberFormat="1" applyFont="1" applyBorder="1" applyAlignment="1">
      <alignment horizontal="left" wrapText="1"/>
    </xf>
    <xf numFmtId="3" fontId="2" fillId="0" borderId="14" xfId="0" applyNumberFormat="1" applyFont="1" applyBorder="1" applyAlignment="1">
      <alignment horizontal="left" wrapText="1"/>
    </xf>
    <xf numFmtId="3" fontId="6" fillId="0" borderId="10" xfId="0" applyNumberFormat="1" applyFont="1" applyBorder="1" applyAlignment="1">
      <alignment horizontal="center" vertical="center" wrapText="1"/>
    </xf>
    <xf numFmtId="3" fontId="3" fillId="0" borderId="102" xfId="0" applyNumberFormat="1" applyFont="1" applyBorder="1" applyAlignment="1">
      <alignment horizontal="center" vertical="center" wrapText="1"/>
    </xf>
    <xf numFmtId="3" fontId="3" fillId="0" borderId="22" xfId="0" applyNumberFormat="1" applyFont="1" applyBorder="1" applyAlignment="1">
      <alignment horizontal="center" vertical="center" wrapText="1"/>
    </xf>
    <xf numFmtId="3" fontId="71" fillId="0" borderId="53" xfId="0" applyNumberFormat="1" applyFont="1" applyBorder="1" applyAlignment="1">
      <alignment horizontal="left" wrapText="1"/>
    </xf>
    <xf numFmtId="3" fontId="71" fillId="0" borderId="44" xfId="0" applyNumberFormat="1" applyFont="1" applyBorder="1" applyAlignment="1">
      <alignment horizontal="left" wrapText="1"/>
    </xf>
    <xf numFmtId="0" fontId="32" fillId="0" borderId="0" xfId="0" applyFont="1" applyAlignment="1">
      <alignment horizontal="center" vertical="center" wrapText="1"/>
    </xf>
    <xf numFmtId="0" fontId="3" fillId="0" borderId="0" xfId="0" applyFont="1" applyAlignment="1">
      <alignment horizontal="left" wrapText="1"/>
    </xf>
    <xf numFmtId="0" fontId="40" fillId="0" borderId="56" xfId="0" applyFont="1" applyBorder="1" applyAlignment="1">
      <alignment horizontal="left" vertical="top" wrapText="1"/>
    </xf>
    <xf numFmtId="0" fontId="40" fillId="0" borderId="0" xfId="0" applyFont="1" applyBorder="1" applyAlignment="1">
      <alignment horizontal="left" vertical="top" wrapText="1"/>
    </xf>
    <xf numFmtId="3" fontId="3" fillId="0" borderId="10" xfId="0" applyNumberFormat="1" applyFont="1" applyBorder="1" applyAlignment="1">
      <alignment horizontal="center" vertical="center" wrapText="1"/>
    </xf>
    <xf numFmtId="3" fontId="81" fillId="0" borderId="120" xfId="0" applyNumberFormat="1" applyFont="1" applyBorder="1" applyAlignment="1">
      <alignment horizontal="left"/>
    </xf>
    <xf numFmtId="3" fontId="81" fillId="0" borderId="121" xfId="0" applyNumberFormat="1" applyFont="1" applyBorder="1" applyAlignment="1">
      <alignment horizontal="left"/>
    </xf>
    <xf numFmtId="3" fontId="81" fillId="0" borderId="102" xfId="0" applyNumberFormat="1" applyFont="1" applyBorder="1" applyAlignment="1">
      <alignment horizontal="left"/>
    </xf>
    <xf numFmtId="171" fontId="6" fillId="0" borderId="64" xfId="0" applyNumberFormat="1" applyFont="1" applyFill="1" applyBorder="1" applyAlignment="1" applyProtection="1">
      <alignment horizontal="center" vertical="center" wrapText="1"/>
      <protection locked="0"/>
    </xf>
    <xf numFmtId="171" fontId="6" fillId="0" borderId="14" xfId="0" applyNumberFormat="1" applyFont="1" applyFill="1" applyBorder="1" applyAlignment="1" applyProtection="1">
      <alignment horizontal="center" vertical="center" wrapText="1"/>
      <protection locked="0"/>
    </xf>
    <xf numFmtId="0" fontId="2" fillId="4" borderId="82" xfId="0" applyFont="1" applyFill="1" applyBorder="1" applyAlignment="1" applyProtection="1">
      <alignment horizontal="center" vertical="center" wrapText="1"/>
      <protection locked="0"/>
    </xf>
    <xf numFmtId="0" fontId="2" fillId="4" borderId="84"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center" vertical="center" wrapText="1"/>
      <protection locked="0"/>
    </xf>
    <xf numFmtId="0" fontId="2" fillId="4" borderId="50" xfId="0" applyFont="1" applyFill="1" applyBorder="1" applyAlignment="1" applyProtection="1">
      <alignment horizontal="center" vertical="center" wrapText="1"/>
      <protection locked="0"/>
    </xf>
    <xf numFmtId="3" fontId="6" fillId="0" borderId="152" xfId="0" applyNumberFormat="1" applyFont="1" applyBorder="1" applyAlignment="1">
      <alignment horizontal="center" vertical="center" wrapText="1"/>
    </xf>
    <xf numFmtId="0" fontId="32" fillId="0" borderId="0" xfId="0" applyFont="1" applyAlignment="1">
      <alignment horizontal="center" vertical="top" wrapText="1"/>
    </xf>
    <xf numFmtId="0" fontId="40" fillId="0" borderId="0" xfId="0" applyFont="1" applyAlignment="1">
      <alignment horizontal="left" vertical="top" wrapText="1"/>
    </xf>
    <xf numFmtId="3" fontId="4" fillId="0" borderId="150" xfId="0" applyNumberFormat="1" applyFont="1" applyBorder="1" applyAlignment="1">
      <alignment horizontal="left"/>
    </xf>
    <xf numFmtId="3" fontId="4" fillId="0" borderId="151" xfId="0" applyNumberFormat="1" applyFont="1" applyBorder="1" applyAlignment="1">
      <alignment horizontal="left"/>
    </xf>
    <xf numFmtId="3" fontId="4" fillId="0" borderId="72" xfId="0" applyNumberFormat="1" applyFont="1" applyBorder="1" applyAlignment="1">
      <alignment horizontal="left"/>
    </xf>
    <xf numFmtId="0" fontId="59" fillId="0" borderId="0" xfId="0" applyFont="1" applyAlignment="1">
      <alignment horizontal="left" vertical="top" wrapText="1"/>
    </xf>
    <xf numFmtId="0" fontId="59" fillId="0" borderId="0" xfId="0" applyFont="1" applyAlignment="1">
      <alignment horizontal="left" wrapText="1"/>
    </xf>
    <xf numFmtId="0" fontId="22" fillId="0" borderId="51" xfId="0" applyFont="1" applyBorder="1" applyAlignment="1">
      <alignment horizontal="center"/>
    </xf>
    <xf numFmtId="0" fontId="22" fillId="0" borderId="52" xfId="0" applyFont="1" applyBorder="1" applyAlignment="1">
      <alignment horizontal="center"/>
    </xf>
    <xf numFmtId="0" fontId="22" fillId="0" borderId="54" xfId="0" applyFont="1" applyBorder="1" applyAlignment="1">
      <alignment horizontal="center"/>
    </xf>
    <xf numFmtId="0" fontId="0" fillId="0" borderId="56" xfId="0" applyBorder="1" applyAlignment="1">
      <alignment horizontal="center" wrapText="1"/>
    </xf>
    <xf numFmtId="0" fontId="0" fillId="0" borderId="0" xfId="0" applyBorder="1" applyAlignment="1">
      <alignment horizontal="center" wrapText="1"/>
    </xf>
    <xf numFmtId="0" fontId="0" fillId="0" borderId="57" xfId="0" applyBorder="1" applyAlignment="1">
      <alignment horizontal="center" wrapText="1"/>
    </xf>
  </cellXfs>
  <cellStyles count="8">
    <cellStyle name="Prozent" xfId="1" builtinId="5"/>
    <cellStyle name="Prozent 2" xfId="2"/>
    <cellStyle name="Prozent 2 2" xfId="3"/>
    <cellStyle name="Prozent 4" xfId="4"/>
    <cellStyle name="Standard" xfId="0" builtinId="0"/>
    <cellStyle name="Standard 2" xfId="5"/>
    <cellStyle name="Standard 2 2" xfId="6"/>
    <cellStyle name="Währung" xfId="7"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190500</xdr:colOff>
      <xdr:row>1</xdr:row>
      <xdr:rowOff>30480</xdr:rowOff>
    </xdr:from>
    <xdr:to>
      <xdr:col>8</xdr:col>
      <xdr:colOff>922020</xdr:colOff>
      <xdr:row>1</xdr:row>
      <xdr:rowOff>419100</xdr:rowOff>
    </xdr:to>
    <xdr:pic>
      <xdr:nvPicPr>
        <xdr:cNvPr id="46336"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91440"/>
          <a:ext cx="7315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190500</xdr:colOff>
      <xdr:row>1</xdr:row>
      <xdr:rowOff>30480</xdr:rowOff>
    </xdr:from>
    <xdr:to>
      <xdr:col>8</xdr:col>
      <xdr:colOff>922020</xdr:colOff>
      <xdr:row>1</xdr:row>
      <xdr:rowOff>419100</xdr:rowOff>
    </xdr:to>
    <xdr:pic>
      <xdr:nvPicPr>
        <xdr:cNvPr id="5155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7780" y="91440"/>
          <a:ext cx="7315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190500</xdr:colOff>
      <xdr:row>1</xdr:row>
      <xdr:rowOff>30480</xdr:rowOff>
    </xdr:from>
    <xdr:to>
      <xdr:col>8</xdr:col>
      <xdr:colOff>922020</xdr:colOff>
      <xdr:row>1</xdr:row>
      <xdr:rowOff>419100</xdr:rowOff>
    </xdr:to>
    <xdr:pic>
      <xdr:nvPicPr>
        <xdr:cNvPr id="51555"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7780" y="91440"/>
          <a:ext cx="7315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190500</xdr:colOff>
      <xdr:row>1</xdr:row>
      <xdr:rowOff>30480</xdr:rowOff>
    </xdr:from>
    <xdr:to>
      <xdr:col>8</xdr:col>
      <xdr:colOff>922020</xdr:colOff>
      <xdr:row>1</xdr:row>
      <xdr:rowOff>419100</xdr:rowOff>
    </xdr:to>
    <xdr:pic>
      <xdr:nvPicPr>
        <xdr:cNvPr id="59507"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7780" y="91440"/>
          <a:ext cx="7315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114300</xdr:colOff>
      <xdr:row>1</xdr:row>
      <xdr:rowOff>76200</xdr:rowOff>
    </xdr:from>
    <xdr:to>
      <xdr:col>9</xdr:col>
      <xdr:colOff>800100</xdr:colOff>
      <xdr:row>1</xdr:row>
      <xdr:rowOff>441960</xdr:rowOff>
    </xdr:to>
    <xdr:pic>
      <xdr:nvPicPr>
        <xdr:cNvPr id="4330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6840" y="137160"/>
          <a:ext cx="6858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190500</xdr:colOff>
      <xdr:row>1</xdr:row>
      <xdr:rowOff>30480</xdr:rowOff>
    </xdr:from>
    <xdr:to>
      <xdr:col>8</xdr:col>
      <xdr:colOff>906780</xdr:colOff>
      <xdr:row>1</xdr:row>
      <xdr:rowOff>419100</xdr:rowOff>
    </xdr:to>
    <xdr:pic>
      <xdr:nvPicPr>
        <xdr:cNvPr id="55491"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37320" y="91440"/>
          <a:ext cx="71628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114300</xdr:colOff>
      <xdr:row>1</xdr:row>
      <xdr:rowOff>76200</xdr:rowOff>
    </xdr:from>
    <xdr:to>
      <xdr:col>9</xdr:col>
      <xdr:colOff>800100</xdr:colOff>
      <xdr:row>1</xdr:row>
      <xdr:rowOff>441960</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6840" y="137160"/>
          <a:ext cx="6858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190500</xdr:colOff>
      <xdr:row>1</xdr:row>
      <xdr:rowOff>30480</xdr:rowOff>
    </xdr:from>
    <xdr:to>
      <xdr:col>8</xdr:col>
      <xdr:colOff>906780</xdr:colOff>
      <xdr:row>1</xdr:row>
      <xdr:rowOff>419100</xdr:rowOff>
    </xdr:to>
    <xdr:pic>
      <xdr:nvPicPr>
        <xdr:cNvPr id="60515"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90760" y="91440"/>
          <a:ext cx="71628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190500</xdr:colOff>
      <xdr:row>1</xdr:row>
      <xdr:rowOff>30480</xdr:rowOff>
    </xdr:from>
    <xdr:to>
      <xdr:col>8</xdr:col>
      <xdr:colOff>922020</xdr:colOff>
      <xdr:row>1</xdr:row>
      <xdr:rowOff>419100</xdr:rowOff>
    </xdr:to>
    <xdr:pic>
      <xdr:nvPicPr>
        <xdr:cNvPr id="44357"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83980" y="91440"/>
          <a:ext cx="7315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1</xdr:row>
      <xdr:rowOff>342900</xdr:rowOff>
    </xdr:from>
    <xdr:to>
      <xdr:col>6</xdr:col>
      <xdr:colOff>53340</xdr:colOff>
      <xdr:row>3</xdr:row>
      <xdr:rowOff>160020</xdr:rowOff>
    </xdr:to>
    <xdr:sp macro="" textlink="">
      <xdr:nvSpPr>
        <xdr:cNvPr id="44358" name="Ellipse 1"/>
        <xdr:cNvSpPr>
          <a:spLocks noChangeArrowheads="1"/>
        </xdr:cNvSpPr>
      </xdr:nvSpPr>
      <xdr:spPr bwMode="auto">
        <a:xfrm>
          <a:off x="5814060" y="403860"/>
          <a:ext cx="1013460" cy="80772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190500</xdr:colOff>
      <xdr:row>1</xdr:row>
      <xdr:rowOff>30480</xdr:rowOff>
    </xdr:from>
    <xdr:to>
      <xdr:col>8</xdr:col>
      <xdr:colOff>906780</xdr:colOff>
      <xdr:row>1</xdr:row>
      <xdr:rowOff>419100</xdr:rowOff>
    </xdr:to>
    <xdr:pic>
      <xdr:nvPicPr>
        <xdr:cNvPr id="5764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83980" y="91440"/>
          <a:ext cx="71628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1531620</xdr:colOff>
      <xdr:row>1</xdr:row>
      <xdr:rowOff>342900</xdr:rowOff>
    </xdr:from>
    <xdr:to>
      <xdr:col>8</xdr:col>
      <xdr:colOff>160020</xdr:colOff>
      <xdr:row>3</xdr:row>
      <xdr:rowOff>160020</xdr:rowOff>
    </xdr:to>
    <xdr:sp macro="" textlink="">
      <xdr:nvSpPr>
        <xdr:cNvPr id="57645" name="Ellipse 3"/>
        <xdr:cNvSpPr>
          <a:spLocks noChangeArrowheads="1"/>
        </xdr:cNvSpPr>
      </xdr:nvSpPr>
      <xdr:spPr bwMode="auto">
        <a:xfrm>
          <a:off x="8305800" y="403860"/>
          <a:ext cx="647700" cy="80772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190500</xdr:colOff>
      <xdr:row>1</xdr:row>
      <xdr:rowOff>30480</xdr:rowOff>
    </xdr:from>
    <xdr:to>
      <xdr:col>8</xdr:col>
      <xdr:colOff>922020</xdr:colOff>
      <xdr:row>1</xdr:row>
      <xdr:rowOff>419100</xdr:rowOff>
    </xdr:to>
    <xdr:pic>
      <xdr:nvPicPr>
        <xdr:cNvPr id="4735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7780" y="91440"/>
          <a:ext cx="7315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1381760</xdr:colOff>
      <xdr:row>1</xdr:row>
      <xdr:rowOff>396240</xdr:rowOff>
    </xdr:from>
    <xdr:to>
      <xdr:col>6</xdr:col>
      <xdr:colOff>83820</xdr:colOff>
      <xdr:row>3</xdr:row>
      <xdr:rowOff>50800</xdr:rowOff>
    </xdr:to>
    <xdr:sp macro="" textlink="">
      <xdr:nvSpPr>
        <xdr:cNvPr id="3" name="Ellipse 1"/>
        <xdr:cNvSpPr>
          <a:spLocks noChangeArrowheads="1"/>
        </xdr:cNvSpPr>
      </xdr:nvSpPr>
      <xdr:spPr bwMode="auto">
        <a:xfrm>
          <a:off x="6024880" y="457200"/>
          <a:ext cx="1018540" cy="65024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190500</xdr:colOff>
      <xdr:row>1</xdr:row>
      <xdr:rowOff>30480</xdr:rowOff>
    </xdr:from>
    <xdr:to>
      <xdr:col>8</xdr:col>
      <xdr:colOff>922020</xdr:colOff>
      <xdr:row>1</xdr:row>
      <xdr:rowOff>419100</xdr:rowOff>
    </xdr:to>
    <xdr:pic>
      <xdr:nvPicPr>
        <xdr:cNvPr id="56558"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7780" y="91440"/>
          <a:ext cx="7315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1483360</xdr:colOff>
      <xdr:row>2</xdr:row>
      <xdr:rowOff>0</xdr:rowOff>
    </xdr:from>
    <xdr:to>
      <xdr:col>8</xdr:col>
      <xdr:colOff>111760</xdr:colOff>
      <xdr:row>3</xdr:row>
      <xdr:rowOff>10160</xdr:rowOff>
    </xdr:to>
    <xdr:sp macro="" textlink="">
      <xdr:nvSpPr>
        <xdr:cNvPr id="3" name="Ellipse 3"/>
        <xdr:cNvSpPr>
          <a:spLocks noChangeArrowheads="1"/>
        </xdr:cNvSpPr>
      </xdr:nvSpPr>
      <xdr:spPr bwMode="auto">
        <a:xfrm>
          <a:off x="8188960" y="518160"/>
          <a:ext cx="538480" cy="54864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1"/>
  <sheetViews>
    <sheetView tabSelected="1" zoomScaleNormal="100" zoomScaleSheetLayoutView="80" workbookViewId="0">
      <selection activeCell="E61" sqref="E61"/>
    </sheetView>
  </sheetViews>
  <sheetFormatPr baseColWidth="10" defaultColWidth="11.28515625" defaultRowHeight="14.25" x14ac:dyDescent="0.2"/>
  <cols>
    <col min="1" max="1" width="1.28515625" style="146" customWidth="1"/>
    <col min="2" max="2" width="2.140625" style="146" customWidth="1"/>
    <col min="3" max="3" width="83" style="146" customWidth="1"/>
    <col min="4" max="7" width="11.28515625" style="146"/>
    <col min="8" max="8" width="13" style="146" customWidth="1"/>
    <col min="9" max="16384" width="11.28515625" style="146"/>
  </cols>
  <sheetData>
    <row r="1" spans="2:3" ht="8.4499999999999993" customHeight="1" x14ac:dyDescent="0.2"/>
    <row r="2" spans="2:3" ht="18" x14ac:dyDescent="0.25">
      <c r="B2" s="13" t="s">
        <v>433</v>
      </c>
    </row>
    <row r="3" spans="2:3" ht="82.9" customHeight="1" x14ac:dyDescent="0.2">
      <c r="B3" s="847" t="s">
        <v>481</v>
      </c>
      <c r="C3" s="847"/>
    </row>
    <row r="4" spans="2:3" ht="10.5" customHeight="1" x14ac:dyDescent="0.2"/>
    <row r="5" spans="2:3" x14ac:dyDescent="0.2">
      <c r="B5" s="146" t="s">
        <v>209</v>
      </c>
    </row>
    <row r="6" spans="2:3" ht="16.899999999999999" customHeight="1" x14ac:dyDescent="0.2">
      <c r="B6" s="844" t="s">
        <v>210</v>
      </c>
      <c r="C6" s="844"/>
    </row>
    <row r="7" spans="2:3" ht="31.9" customHeight="1" x14ac:dyDescent="0.25">
      <c r="B7" s="848" t="s">
        <v>474</v>
      </c>
      <c r="C7" s="848"/>
    </row>
    <row r="8" spans="2:3" ht="48.2" customHeight="1" x14ac:dyDescent="0.2">
      <c r="B8" s="844" t="s">
        <v>419</v>
      </c>
      <c r="C8" s="844"/>
    </row>
    <row r="9" spans="2:3" ht="32.25" customHeight="1" x14ac:dyDescent="0.2">
      <c r="B9" s="844" t="s">
        <v>130</v>
      </c>
      <c r="C9" s="844"/>
    </row>
    <row r="10" spans="2:3" ht="33.75" customHeight="1" x14ac:dyDescent="0.2">
      <c r="B10" s="844" t="s">
        <v>235</v>
      </c>
      <c r="C10" s="844"/>
    </row>
    <row r="11" spans="2:3" ht="45" customHeight="1" x14ac:dyDescent="0.2">
      <c r="B11" s="844" t="s">
        <v>211</v>
      </c>
      <c r="C11" s="844"/>
    </row>
    <row r="12" spans="2:3" ht="15.75" customHeight="1" x14ac:dyDescent="0.2">
      <c r="B12" s="844" t="s">
        <v>236</v>
      </c>
      <c r="C12" s="844"/>
    </row>
    <row r="13" spans="2:3" ht="15.75" customHeight="1" x14ac:dyDescent="0.2">
      <c r="B13" s="413"/>
      <c r="C13" s="413" t="s">
        <v>393</v>
      </c>
    </row>
    <row r="14" spans="2:3" ht="15.75" customHeight="1" x14ac:dyDescent="0.2">
      <c r="B14" s="413"/>
      <c r="C14" s="413" t="s">
        <v>304</v>
      </c>
    </row>
    <row r="15" spans="2:3" ht="15.75" customHeight="1" x14ac:dyDescent="0.2">
      <c r="B15" s="413"/>
      <c r="C15" s="413" t="s">
        <v>420</v>
      </c>
    </row>
    <row r="16" spans="2:3" ht="15.75" customHeight="1" x14ac:dyDescent="0.2">
      <c r="B16" s="413"/>
      <c r="C16" s="413" t="s">
        <v>421</v>
      </c>
    </row>
    <row r="17" spans="2:3" ht="15.75" customHeight="1" x14ac:dyDescent="0.2">
      <c r="B17" s="413"/>
      <c r="C17" s="413" t="s">
        <v>422</v>
      </c>
    </row>
    <row r="18" spans="2:3" ht="15.75" customHeight="1" x14ac:dyDescent="0.2">
      <c r="B18" s="413"/>
      <c r="C18" s="413" t="s">
        <v>423</v>
      </c>
    </row>
    <row r="19" spans="2:3" ht="21.75" customHeight="1" x14ac:dyDescent="0.25">
      <c r="B19" s="843" t="s">
        <v>168</v>
      </c>
      <c r="C19" s="843"/>
    </row>
    <row r="20" spans="2:3" ht="46.5" customHeight="1" x14ac:dyDescent="0.2">
      <c r="B20" s="844" t="s">
        <v>425</v>
      </c>
      <c r="C20" s="844"/>
    </row>
    <row r="21" spans="2:3" ht="18" customHeight="1" x14ac:dyDescent="0.25">
      <c r="B21" s="845" t="s">
        <v>140</v>
      </c>
      <c r="C21" s="845"/>
    </row>
    <row r="22" spans="2:3" ht="61.5" customHeight="1" x14ac:dyDescent="0.2">
      <c r="B22" s="844" t="s">
        <v>475</v>
      </c>
      <c r="C22" s="844"/>
    </row>
    <row r="23" spans="2:3" ht="57.75" customHeight="1" x14ac:dyDescent="0.2">
      <c r="B23" s="844" t="s">
        <v>394</v>
      </c>
      <c r="C23" s="844"/>
    </row>
    <row r="24" spans="2:3" ht="30.75" customHeight="1" x14ac:dyDescent="0.2">
      <c r="B24" s="844" t="s">
        <v>395</v>
      </c>
      <c r="C24" s="844"/>
    </row>
    <row r="25" spans="2:3" ht="21.2" customHeight="1" x14ac:dyDescent="0.25">
      <c r="B25" s="846" t="s">
        <v>141</v>
      </c>
      <c r="C25" s="846"/>
    </row>
    <row r="26" spans="2:3" ht="45" customHeight="1" x14ac:dyDescent="0.2">
      <c r="B26" s="844" t="s">
        <v>396</v>
      </c>
      <c r="C26" s="844"/>
    </row>
    <row r="27" spans="2:3" ht="31.7" customHeight="1" x14ac:dyDescent="0.2">
      <c r="B27" s="844" t="s">
        <v>397</v>
      </c>
      <c r="C27" s="844"/>
    </row>
    <row r="28" spans="2:3" ht="33.6" customHeight="1" x14ac:dyDescent="0.2">
      <c r="B28" s="844" t="s">
        <v>305</v>
      </c>
      <c r="C28" s="844"/>
    </row>
    <row r="29" spans="2:3" ht="43.5" customHeight="1" x14ac:dyDescent="0.2">
      <c r="B29" s="844" t="s">
        <v>131</v>
      </c>
      <c r="C29" s="844"/>
    </row>
    <row r="30" spans="2:3" ht="17.45" customHeight="1" x14ac:dyDescent="0.2">
      <c r="B30" s="844" t="s">
        <v>132</v>
      </c>
      <c r="C30" s="844"/>
    </row>
    <row r="31" spans="2:3" ht="32.25" customHeight="1" x14ac:dyDescent="0.2">
      <c r="B31" s="844" t="s">
        <v>156</v>
      </c>
      <c r="C31" s="844"/>
    </row>
    <row r="32" spans="2:3" ht="19.5" customHeight="1" x14ac:dyDescent="0.2">
      <c r="B32" s="844" t="s">
        <v>133</v>
      </c>
      <c r="C32" s="844"/>
    </row>
    <row r="33" spans="2:3" ht="37.9" customHeight="1" x14ac:dyDescent="0.2">
      <c r="B33" s="844" t="s">
        <v>142</v>
      </c>
      <c r="C33" s="844"/>
    </row>
    <row r="34" spans="2:3" ht="75.75" customHeight="1" x14ac:dyDescent="0.2">
      <c r="B34" s="844" t="s">
        <v>426</v>
      </c>
      <c r="C34" s="844"/>
    </row>
    <row r="35" spans="2:3" ht="21.75" customHeight="1" x14ac:dyDescent="0.25">
      <c r="B35" s="846" t="s">
        <v>143</v>
      </c>
      <c r="C35" s="846"/>
    </row>
    <row r="36" spans="2:3" ht="29.45" customHeight="1" x14ac:dyDescent="0.2">
      <c r="B36" s="844" t="s">
        <v>312</v>
      </c>
      <c r="C36" s="844"/>
    </row>
    <row r="37" spans="2:3" ht="76.150000000000006" customHeight="1" x14ac:dyDescent="0.2">
      <c r="B37" s="844" t="s">
        <v>166</v>
      </c>
      <c r="C37" s="844"/>
    </row>
    <row r="38" spans="2:3" ht="21.2" customHeight="1" x14ac:dyDescent="0.25">
      <c r="B38" s="846" t="s">
        <v>144</v>
      </c>
      <c r="C38" s="846"/>
    </row>
    <row r="39" spans="2:3" ht="72" customHeight="1" x14ac:dyDescent="0.2">
      <c r="B39" s="844" t="s">
        <v>476</v>
      </c>
      <c r="C39" s="844"/>
    </row>
    <row r="40" spans="2:3" ht="59.25" customHeight="1" x14ac:dyDescent="0.2">
      <c r="B40" s="844" t="s">
        <v>316</v>
      </c>
      <c r="C40" s="844"/>
    </row>
    <row r="41" spans="2:3" ht="71.45" customHeight="1" x14ac:dyDescent="0.2">
      <c r="B41" s="844" t="s">
        <v>398</v>
      </c>
      <c r="C41" s="844"/>
    </row>
    <row r="42" spans="2:3" ht="57.6" customHeight="1" x14ac:dyDescent="0.2">
      <c r="B42" s="844" t="s">
        <v>399</v>
      </c>
      <c r="C42" s="844"/>
    </row>
    <row r="43" spans="2:3" ht="44.45" customHeight="1" x14ac:dyDescent="0.2">
      <c r="B43" s="844" t="s">
        <v>400</v>
      </c>
      <c r="C43" s="844"/>
    </row>
    <row r="44" spans="2:3" ht="31.15" customHeight="1" x14ac:dyDescent="0.2">
      <c r="B44" s="844" t="s">
        <v>317</v>
      </c>
      <c r="C44" s="844"/>
    </row>
    <row r="45" spans="2:3" ht="26.45" customHeight="1" x14ac:dyDescent="0.25">
      <c r="B45" s="846" t="s">
        <v>145</v>
      </c>
      <c r="C45" s="846"/>
    </row>
    <row r="46" spans="2:3" ht="60" customHeight="1" x14ac:dyDescent="0.2">
      <c r="B46" s="844" t="s">
        <v>401</v>
      </c>
      <c r="C46" s="844"/>
    </row>
    <row r="47" spans="2:3" ht="44.45" customHeight="1" x14ac:dyDescent="0.2">
      <c r="B47" s="844" t="s">
        <v>306</v>
      </c>
      <c r="C47" s="844"/>
    </row>
    <row r="48" spans="2:3" ht="30.75" customHeight="1" x14ac:dyDescent="0.2">
      <c r="B48" s="844" t="s">
        <v>402</v>
      </c>
      <c r="C48" s="844"/>
    </row>
    <row r="49" spans="2:3" ht="21.75" customHeight="1" x14ac:dyDescent="0.25">
      <c r="B49" s="846" t="s">
        <v>146</v>
      </c>
      <c r="C49" s="846"/>
    </row>
    <row r="50" spans="2:3" ht="73.150000000000006" customHeight="1" x14ac:dyDescent="0.2">
      <c r="B50" s="844" t="s">
        <v>403</v>
      </c>
      <c r="C50" s="844"/>
    </row>
    <row r="51" spans="2:3" ht="45" customHeight="1" x14ac:dyDescent="0.2">
      <c r="B51" s="844" t="s">
        <v>167</v>
      </c>
      <c r="C51" s="844"/>
    </row>
    <row r="52" spans="2:3" ht="24" customHeight="1" x14ac:dyDescent="0.25">
      <c r="B52" s="843" t="s">
        <v>169</v>
      </c>
      <c r="C52" s="843"/>
    </row>
    <row r="53" spans="2:3" ht="54" customHeight="1" x14ac:dyDescent="0.2">
      <c r="B53" s="844" t="s">
        <v>212</v>
      </c>
      <c r="C53" s="844"/>
    </row>
    <row r="54" spans="2:3" ht="26.45" customHeight="1" x14ac:dyDescent="0.2">
      <c r="B54" s="844" t="s">
        <v>480</v>
      </c>
      <c r="C54" s="844"/>
    </row>
    <row r="55" spans="2:3" ht="27" customHeight="1" x14ac:dyDescent="0.25">
      <c r="B55" s="846" t="s">
        <v>147</v>
      </c>
      <c r="C55" s="846"/>
    </row>
    <row r="56" spans="2:3" ht="25.9" customHeight="1" x14ac:dyDescent="0.2">
      <c r="B56" s="844" t="s">
        <v>404</v>
      </c>
      <c r="C56" s="844"/>
    </row>
    <row r="57" spans="2:3" ht="47.45" customHeight="1" x14ac:dyDescent="0.2">
      <c r="B57" s="844" t="s">
        <v>477</v>
      </c>
      <c r="C57" s="844"/>
    </row>
    <row r="58" spans="2:3" ht="45.75" customHeight="1" x14ac:dyDescent="0.2">
      <c r="B58" s="844" t="s">
        <v>139</v>
      </c>
      <c r="C58" s="844"/>
    </row>
    <row r="59" spans="2:3" ht="32.450000000000003" customHeight="1" x14ac:dyDescent="0.2">
      <c r="B59" s="844" t="s">
        <v>482</v>
      </c>
      <c r="C59" s="844"/>
    </row>
    <row r="60" spans="2:3" ht="31.15" customHeight="1" x14ac:dyDescent="0.2">
      <c r="B60" s="844" t="s">
        <v>478</v>
      </c>
      <c r="C60" s="844"/>
    </row>
    <row r="61" spans="2:3" ht="31.9" customHeight="1" x14ac:dyDescent="0.2">
      <c r="B61" s="844" t="s">
        <v>405</v>
      </c>
      <c r="C61" s="844"/>
    </row>
    <row r="62" spans="2:3" ht="46.9" customHeight="1" x14ac:dyDescent="0.2">
      <c r="B62" s="844" t="s">
        <v>458</v>
      </c>
      <c r="C62" s="844"/>
    </row>
    <row r="63" spans="2:3" ht="34.15" customHeight="1" x14ac:dyDescent="0.2">
      <c r="B63" s="844" t="s">
        <v>459</v>
      </c>
      <c r="C63" s="844"/>
    </row>
    <row r="64" spans="2:3" ht="21.2" customHeight="1" x14ac:dyDescent="0.25">
      <c r="B64" s="846" t="s">
        <v>148</v>
      </c>
      <c r="C64" s="846"/>
    </row>
    <row r="65" spans="2:3" ht="47.25" customHeight="1" x14ac:dyDescent="0.2">
      <c r="B65" s="844" t="s">
        <v>460</v>
      </c>
      <c r="C65" s="844"/>
    </row>
    <row r="66" spans="2:3" ht="35.450000000000003" customHeight="1" x14ac:dyDescent="0.2">
      <c r="B66" s="844" t="s">
        <v>461</v>
      </c>
      <c r="C66" s="844"/>
    </row>
    <row r="67" spans="2:3" ht="30.2" customHeight="1" x14ac:dyDescent="0.2">
      <c r="B67" s="844" t="s">
        <v>462</v>
      </c>
      <c r="C67" s="844"/>
    </row>
    <row r="68" spans="2:3" ht="63" customHeight="1" x14ac:dyDescent="0.2">
      <c r="B68" s="844" t="s">
        <v>463</v>
      </c>
      <c r="C68" s="844"/>
    </row>
    <row r="69" spans="2:3" ht="34.9" customHeight="1" x14ac:dyDescent="0.2">
      <c r="B69" s="844" t="s">
        <v>424</v>
      </c>
      <c r="C69" s="844"/>
    </row>
    <row r="70" spans="2:3" ht="61.5" customHeight="1" x14ac:dyDescent="0.2">
      <c r="B70" s="844" t="s">
        <v>483</v>
      </c>
      <c r="C70" s="844"/>
    </row>
    <row r="71" spans="2:3" ht="22.7" customHeight="1" x14ac:dyDescent="0.25">
      <c r="B71" s="846" t="s">
        <v>149</v>
      </c>
      <c r="C71" s="846"/>
    </row>
    <row r="72" spans="2:3" ht="46.15" customHeight="1" x14ac:dyDescent="0.2">
      <c r="B72" s="844" t="s">
        <v>464</v>
      </c>
      <c r="C72" s="844"/>
    </row>
    <row r="73" spans="2:3" ht="22.7" customHeight="1" x14ac:dyDescent="0.25">
      <c r="B73" s="846" t="s">
        <v>150</v>
      </c>
      <c r="C73" s="846"/>
    </row>
    <row r="74" spans="2:3" ht="33.75" customHeight="1" x14ac:dyDescent="0.2">
      <c r="B74" s="844" t="s">
        <v>134</v>
      </c>
      <c r="C74" s="844"/>
    </row>
    <row r="75" spans="2:3" ht="90.6" customHeight="1" x14ac:dyDescent="0.2">
      <c r="B75" s="844" t="s">
        <v>484</v>
      </c>
      <c r="C75" s="844"/>
    </row>
    <row r="76" spans="2:3" ht="59.25" customHeight="1" x14ac:dyDescent="0.2">
      <c r="B76" s="844" t="s">
        <v>427</v>
      </c>
      <c r="C76" s="844"/>
    </row>
    <row r="77" spans="2:3" ht="30.75" customHeight="1" x14ac:dyDescent="0.2">
      <c r="B77" s="844" t="s">
        <v>152</v>
      </c>
      <c r="C77" s="844"/>
    </row>
    <row r="78" spans="2:3" ht="33" customHeight="1" x14ac:dyDescent="0.2">
      <c r="B78" s="844" t="s">
        <v>136</v>
      </c>
      <c r="C78" s="844"/>
    </row>
    <row r="79" spans="2:3" ht="35.450000000000003" customHeight="1" x14ac:dyDescent="0.2">
      <c r="B79" s="844" t="s">
        <v>138</v>
      </c>
      <c r="C79" s="844"/>
    </row>
    <row r="80" spans="2:3" ht="21.2" customHeight="1" x14ac:dyDescent="0.25">
      <c r="B80" s="846" t="s">
        <v>151</v>
      </c>
      <c r="C80" s="846"/>
    </row>
    <row r="81" spans="2:3" ht="59.25" customHeight="1" x14ac:dyDescent="0.2">
      <c r="B81" s="844" t="s">
        <v>406</v>
      </c>
      <c r="C81" s="844"/>
    </row>
    <row r="82" spans="2:3" ht="61.9" customHeight="1" x14ac:dyDescent="0.2">
      <c r="B82" s="844" t="s">
        <v>432</v>
      </c>
      <c r="C82" s="844"/>
    </row>
    <row r="83" spans="2:3" ht="31.7" customHeight="1" x14ac:dyDescent="0.2">
      <c r="B83" s="844" t="s">
        <v>465</v>
      </c>
      <c r="C83" s="844"/>
    </row>
    <row r="84" spans="2:3" ht="20.25" customHeight="1" x14ac:dyDescent="0.25">
      <c r="B84" s="846" t="s">
        <v>441</v>
      </c>
      <c r="C84" s="846"/>
    </row>
    <row r="85" spans="2:3" ht="36" customHeight="1" x14ac:dyDescent="0.2">
      <c r="B85" s="844" t="s">
        <v>440</v>
      </c>
      <c r="C85" s="844"/>
    </row>
    <row r="86" spans="2:3" ht="34.9" customHeight="1" x14ac:dyDescent="0.2">
      <c r="B86" s="844" t="s">
        <v>442</v>
      </c>
      <c r="C86" s="844"/>
    </row>
    <row r="87" spans="2:3" ht="23.25" customHeight="1" x14ac:dyDescent="0.25">
      <c r="B87" s="843" t="s">
        <v>238</v>
      </c>
      <c r="C87" s="843"/>
    </row>
    <row r="88" spans="2:3" ht="49.15" customHeight="1" x14ac:dyDescent="0.2">
      <c r="B88" s="844" t="s">
        <v>468</v>
      </c>
      <c r="C88" s="844"/>
    </row>
    <row r="89" spans="2:3" ht="30.75" customHeight="1" x14ac:dyDescent="0.2">
      <c r="B89" s="844" t="s">
        <v>479</v>
      </c>
      <c r="C89" s="844"/>
    </row>
    <row r="90" spans="2:3" ht="19.899999999999999" customHeight="1" x14ac:dyDescent="0.2">
      <c r="B90" s="844" t="s">
        <v>466</v>
      </c>
      <c r="C90" s="844"/>
    </row>
    <row r="91" spans="2:3" ht="61.9" customHeight="1" x14ac:dyDescent="0.2">
      <c r="B91" s="844" t="s">
        <v>467</v>
      </c>
      <c r="C91" s="844"/>
    </row>
    <row r="92" spans="2:3" ht="23.25" customHeight="1" x14ac:dyDescent="0.25">
      <c r="B92" s="843" t="s">
        <v>408</v>
      </c>
      <c r="C92" s="843"/>
    </row>
    <row r="93" spans="2:3" ht="31.9" customHeight="1" x14ac:dyDescent="0.2">
      <c r="B93" s="844" t="s">
        <v>469</v>
      </c>
      <c r="C93" s="844"/>
    </row>
    <row r="94" spans="2:3" ht="47.45" customHeight="1" x14ac:dyDescent="0.2">
      <c r="B94" s="844" t="s">
        <v>470</v>
      </c>
      <c r="C94" s="844"/>
    </row>
    <row r="95" spans="2:3" ht="46.15" customHeight="1" x14ac:dyDescent="0.2">
      <c r="B95" s="844" t="s">
        <v>485</v>
      </c>
      <c r="C95" s="844"/>
    </row>
    <row r="96" spans="2:3" ht="30.75" customHeight="1" x14ac:dyDescent="0.2">
      <c r="B96" s="844" t="s">
        <v>407</v>
      </c>
      <c r="C96" s="844"/>
    </row>
    <row r="97" spans="2:3" ht="49.9" customHeight="1" x14ac:dyDescent="0.2">
      <c r="B97" s="844" t="s">
        <v>471</v>
      </c>
      <c r="C97" s="844"/>
    </row>
    <row r="98" spans="2:3" ht="46.5" customHeight="1" x14ac:dyDescent="0.2">
      <c r="B98" s="844" t="s">
        <v>239</v>
      </c>
      <c r="C98" s="844"/>
    </row>
    <row r="99" spans="2:3" ht="24.75" customHeight="1" x14ac:dyDescent="0.25">
      <c r="B99" s="846" t="s">
        <v>237</v>
      </c>
      <c r="C99" s="846"/>
    </row>
    <row r="100" spans="2:3" ht="60.75" customHeight="1" x14ac:dyDescent="0.2">
      <c r="B100" s="844" t="s">
        <v>472</v>
      </c>
      <c r="C100" s="844"/>
    </row>
    <row r="101" spans="2:3" ht="78.75" customHeight="1" x14ac:dyDescent="0.2">
      <c r="B101" s="844" t="s">
        <v>313</v>
      </c>
      <c r="C101" s="844"/>
    </row>
  </sheetData>
  <sheetProtection sheet="1" objects="1" scenarios="1"/>
  <mergeCells count="91">
    <mergeCell ref="B62:C62"/>
    <mergeCell ref="B63:C63"/>
    <mergeCell ref="B86:C86"/>
    <mergeCell ref="B74:C74"/>
    <mergeCell ref="B68:C68"/>
    <mergeCell ref="B69:C69"/>
    <mergeCell ref="B65:C65"/>
    <mergeCell ref="B76:C76"/>
    <mergeCell ref="B84:C84"/>
    <mergeCell ref="B77:C77"/>
    <mergeCell ref="B82:C82"/>
    <mergeCell ref="B83:C83"/>
    <mergeCell ref="B81:C81"/>
    <mergeCell ref="B78:C78"/>
    <mergeCell ref="B71:C71"/>
    <mergeCell ref="B72:C72"/>
    <mergeCell ref="B70:C70"/>
    <mergeCell ref="B75:C75"/>
    <mergeCell ref="B73:C73"/>
    <mergeCell ref="B80:C80"/>
    <mergeCell ref="B100:C100"/>
    <mergeCell ref="B101:C101"/>
    <mergeCell ref="B85:C85"/>
    <mergeCell ref="B87:C87"/>
    <mergeCell ref="B89:C89"/>
    <mergeCell ref="B92:C92"/>
    <mergeCell ref="B94:C94"/>
    <mergeCell ref="B96:C96"/>
    <mergeCell ref="B98:C98"/>
    <mergeCell ref="B88:C88"/>
    <mergeCell ref="B90:C90"/>
    <mergeCell ref="B91:C91"/>
    <mergeCell ref="B93:C93"/>
    <mergeCell ref="B99:C99"/>
    <mergeCell ref="B95:C95"/>
    <mergeCell ref="B97:C97"/>
    <mergeCell ref="B3:C3"/>
    <mergeCell ref="B20:C20"/>
    <mergeCell ref="B53:C53"/>
    <mergeCell ref="B79:C79"/>
    <mergeCell ref="B66:C66"/>
    <mergeCell ref="B51:C51"/>
    <mergeCell ref="B60:C60"/>
    <mergeCell ref="B56:C56"/>
    <mergeCell ref="B58:C58"/>
    <mergeCell ref="B59:C59"/>
    <mergeCell ref="B61:C61"/>
    <mergeCell ref="B52:C52"/>
    <mergeCell ref="B55:C55"/>
    <mergeCell ref="B54:C54"/>
    <mergeCell ref="B64:C64"/>
    <mergeCell ref="B67:C67"/>
    <mergeCell ref="B57:C57"/>
    <mergeCell ref="B50:C50"/>
    <mergeCell ref="B47:C47"/>
    <mergeCell ref="B41:C41"/>
    <mergeCell ref="B42:C42"/>
    <mergeCell ref="B49:C49"/>
    <mergeCell ref="B48:C48"/>
    <mergeCell ref="B43:C43"/>
    <mergeCell ref="B44:C44"/>
    <mergeCell ref="B45:C45"/>
    <mergeCell ref="B46:C46"/>
    <mergeCell ref="B37:C37"/>
    <mergeCell ref="B38:C38"/>
    <mergeCell ref="B39:C39"/>
    <mergeCell ref="B40:C40"/>
    <mergeCell ref="B35:C35"/>
    <mergeCell ref="B36:C36"/>
    <mergeCell ref="B29:C29"/>
    <mergeCell ref="B27:C27"/>
    <mergeCell ref="B23:C23"/>
    <mergeCell ref="B34:C34"/>
    <mergeCell ref="B25:C25"/>
    <mergeCell ref="B26:C26"/>
    <mergeCell ref="B28:C28"/>
    <mergeCell ref="B30:C30"/>
    <mergeCell ref="B33:C33"/>
    <mergeCell ref="B31:C31"/>
    <mergeCell ref="B32:C32"/>
    <mergeCell ref="B19:C19"/>
    <mergeCell ref="B22:C22"/>
    <mergeCell ref="B24:C24"/>
    <mergeCell ref="B6:C6"/>
    <mergeCell ref="B8:C8"/>
    <mergeCell ref="B9:C9"/>
    <mergeCell ref="B10:C10"/>
    <mergeCell ref="B21:C21"/>
    <mergeCell ref="B11:C11"/>
    <mergeCell ref="B12:C12"/>
    <mergeCell ref="B7:C7"/>
  </mergeCells>
  <phoneticPr fontId="0" type="noConversion"/>
  <pageMargins left="0.78740157480314965" right="0.39370078740157483" top="0.62992125984251968" bottom="0.70866141732283472" header="0.31496062992125984" footer="0.39370078740157483"/>
  <pageSetup paperSize="9" orientation="portrait" blackAndWhite="1" r:id="rId1"/>
  <headerFooter alignWithMargins="0">
    <oddFooter>&amp;L&amp;F&amp;C&amp;A&amp;R&amp;D</oddFooter>
  </headerFooter>
  <rowBreaks count="4" manualBreakCount="4">
    <brk id="44" max="16383" man="1"/>
    <brk id="63" max="16383" man="1"/>
    <brk id="79" max="16383" man="1"/>
    <brk id="98"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61"/>
  <sheetViews>
    <sheetView showGridLines="0" showZeros="0" zoomScale="75" zoomScaleNormal="75" zoomScaleSheetLayoutView="75" workbookViewId="0">
      <selection activeCell="J67" sqref="J67"/>
    </sheetView>
  </sheetViews>
  <sheetFormatPr baseColWidth="10" defaultColWidth="11.28515625" defaultRowHeight="18" x14ac:dyDescent="0.25"/>
  <cols>
    <col min="1" max="1" width="1.85546875" style="2" customWidth="1"/>
    <col min="2" max="2" width="26" style="2" customWidth="1"/>
    <col min="3" max="3" width="24.28515625" style="2" customWidth="1"/>
    <col min="4" max="4" width="13.140625" style="2" customWidth="1"/>
    <col min="5" max="5" width="19.42578125" style="2" customWidth="1"/>
    <col min="6" max="6" width="12.85546875" style="2" customWidth="1"/>
    <col min="7" max="7" width="22.42578125" style="11" customWidth="1"/>
    <col min="8" max="8" width="5.28515625" style="2" customWidth="1"/>
    <col min="9" max="9" width="17.28515625" style="2" customWidth="1"/>
    <col min="10" max="10" width="4.85546875" style="2" customWidth="1"/>
    <col min="11" max="11" width="14.7109375" style="2" customWidth="1"/>
    <col min="12" max="12" width="13.28515625" style="2" customWidth="1"/>
    <col min="13" max="13" width="11.7109375" style="2" customWidth="1"/>
    <col min="14" max="14" width="11.28515625" style="2"/>
    <col min="15" max="15" width="19.140625" style="2" customWidth="1"/>
    <col min="16" max="16" width="7.7109375" style="2" customWidth="1"/>
    <col min="17" max="17" width="7.140625" style="2" customWidth="1"/>
    <col min="18" max="18" width="3.7109375" style="2" customWidth="1"/>
    <col min="19" max="19" width="4.7109375" style="2" customWidth="1"/>
    <col min="20" max="16384" width="11.28515625" style="2"/>
  </cols>
  <sheetData>
    <row r="1" spans="2:19" ht="5.25" customHeight="1" thickBot="1" x14ac:dyDescent="0.3"/>
    <row r="2" spans="2:19" ht="36" customHeight="1" thickBot="1" x14ac:dyDescent="0.3">
      <c r="B2" s="866" t="s">
        <v>259</v>
      </c>
      <c r="C2" s="867"/>
      <c r="D2" s="867"/>
      <c r="E2" s="867"/>
      <c r="F2" s="867"/>
      <c r="G2" s="867"/>
      <c r="H2" s="867"/>
      <c r="I2" s="868"/>
    </row>
    <row r="3" spans="2:19" ht="42" customHeight="1" x14ac:dyDescent="0.25">
      <c r="B3" s="869" t="s">
        <v>59</v>
      </c>
      <c r="C3" s="870"/>
      <c r="D3" s="871" t="s">
        <v>178</v>
      </c>
      <c r="E3" s="872"/>
      <c r="F3" s="493"/>
      <c r="G3" s="234" t="s">
        <v>175</v>
      </c>
      <c r="H3" s="841" t="s">
        <v>177</v>
      </c>
      <c r="I3" s="235" t="s">
        <v>176</v>
      </c>
      <c r="J3" s="3"/>
      <c r="K3" s="1057" t="s">
        <v>188</v>
      </c>
      <c r="L3" s="1057"/>
      <c r="M3" s="1057"/>
      <c r="N3" s="1057"/>
    </row>
    <row r="4" spans="2:19" ht="22.7" customHeight="1" x14ac:dyDescent="0.25">
      <c r="B4" s="269" t="s">
        <v>215</v>
      </c>
      <c r="C4" s="535">
        <v>34</v>
      </c>
      <c r="D4" s="259"/>
      <c r="E4" s="260"/>
      <c r="F4" s="874" t="s">
        <v>4</v>
      </c>
      <c r="G4" s="874"/>
      <c r="H4" s="874"/>
      <c r="I4" s="875"/>
      <c r="L4" s="11"/>
      <c r="M4" s="11"/>
      <c r="N4" s="11"/>
      <c r="O4" s="11"/>
      <c r="P4" s="11"/>
      <c r="Q4" s="11"/>
    </row>
    <row r="5" spans="2:19" ht="22.15" customHeight="1" x14ac:dyDescent="0.25">
      <c r="B5" s="258" t="s">
        <v>217</v>
      </c>
      <c r="C5" s="265">
        <f>C4/12</f>
        <v>2.8333333333333335</v>
      </c>
      <c r="D5" s="261"/>
      <c r="E5" s="262"/>
      <c r="F5" s="1051" t="s">
        <v>385</v>
      </c>
      <c r="G5" s="1051"/>
      <c r="H5" s="1051"/>
      <c r="I5" s="1052"/>
      <c r="L5" s="11"/>
      <c r="M5" s="11"/>
      <c r="N5" s="11"/>
      <c r="O5" s="11"/>
      <c r="P5" s="11"/>
      <c r="Q5" s="11"/>
    </row>
    <row r="6" spans="2:19" ht="21.6" customHeight="1" x14ac:dyDescent="0.25">
      <c r="B6" s="258" t="s">
        <v>218</v>
      </c>
      <c r="C6" s="266">
        <f>C5*365</f>
        <v>1034.1666666666667</v>
      </c>
      <c r="D6" s="263"/>
      <c r="E6" s="250"/>
      <c r="F6" s="1053"/>
      <c r="G6" s="1053"/>
      <c r="H6" s="1053"/>
      <c r="I6" s="1054"/>
      <c r="L6" s="11"/>
      <c r="O6" s="11"/>
      <c r="P6" s="11"/>
      <c r="Q6" s="11"/>
    </row>
    <row r="7" spans="2:19" ht="21.6" customHeight="1" x14ac:dyDescent="0.25">
      <c r="B7" s="258" t="s">
        <v>227</v>
      </c>
      <c r="C7" s="536">
        <v>18</v>
      </c>
      <c r="D7" s="907" t="s">
        <v>23</v>
      </c>
      <c r="E7" s="863" t="s">
        <v>454</v>
      </c>
      <c r="F7" s="1055"/>
      <c r="G7" s="1053"/>
      <c r="H7" s="1053"/>
      <c r="I7" s="1054"/>
      <c r="L7" s="11"/>
      <c r="M7" s="11"/>
      <c r="N7" s="11"/>
      <c r="O7" s="11"/>
      <c r="P7" s="11"/>
      <c r="Q7" s="11"/>
    </row>
    <row r="8" spans="2:19" ht="19.899999999999999" customHeight="1" x14ac:dyDescent="0.25">
      <c r="B8" s="271" t="s">
        <v>220</v>
      </c>
      <c r="C8" s="272">
        <f>C7*30.5</f>
        <v>549</v>
      </c>
      <c r="D8" s="907"/>
      <c r="E8" s="864"/>
      <c r="F8" s="860"/>
      <c r="G8" s="861"/>
      <c r="H8" s="861"/>
      <c r="I8" s="862"/>
      <c r="M8" s="11"/>
      <c r="N8" s="11"/>
      <c r="O8" s="11"/>
      <c r="P8" s="11"/>
      <c r="Q8" s="11"/>
    </row>
    <row r="9" spans="2:19" ht="24" customHeight="1" thickBot="1" x14ac:dyDescent="0.3">
      <c r="B9" s="268" t="s">
        <v>219</v>
      </c>
      <c r="C9" s="270">
        <f>C6-C8</f>
        <v>485.16666666666674</v>
      </c>
      <c r="D9" s="1056"/>
      <c r="E9" s="865"/>
      <c r="F9" s="1049" t="s">
        <v>214</v>
      </c>
      <c r="G9" s="1050"/>
      <c r="H9" s="858" t="s">
        <v>160</v>
      </c>
      <c r="I9" s="859"/>
      <c r="K9" s="63"/>
      <c r="L9" s="201" t="s">
        <v>185</v>
      </c>
      <c r="M9" s="202" t="s">
        <v>182</v>
      </c>
      <c r="N9" s="219"/>
      <c r="O9" s="201" t="s">
        <v>187</v>
      </c>
      <c r="P9" s="11"/>
      <c r="Q9" s="11"/>
    </row>
    <row r="10" spans="2:19" ht="21.2" customHeight="1" x14ac:dyDescent="0.25">
      <c r="B10" s="14" t="s">
        <v>3</v>
      </c>
      <c r="C10" s="32" t="s">
        <v>197</v>
      </c>
      <c r="D10" s="166">
        <v>1</v>
      </c>
      <c r="E10" s="426">
        <f>F10/M10</f>
        <v>10958.904109589041</v>
      </c>
      <c r="F10" s="425">
        <v>12000</v>
      </c>
      <c r="G10" s="198" t="s">
        <v>43</v>
      </c>
      <c r="H10" s="20" t="s">
        <v>0</v>
      </c>
      <c r="I10" s="218">
        <f>D10*F10</f>
        <v>12000</v>
      </c>
      <c r="J10" s="1043" t="s">
        <v>376</v>
      </c>
      <c r="K10" s="1058"/>
      <c r="L10" s="199">
        <v>9.5000000000000001E-2</v>
      </c>
      <c r="M10" s="775">
        <f>1+L10</f>
        <v>1.095</v>
      </c>
      <c r="N10" s="13"/>
      <c r="O10" s="773" t="s">
        <v>181</v>
      </c>
      <c r="P10" s="11"/>
      <c r="Q10" s="11"/>
    </row>
    <row r="11" spans="2:19" ht="21.2" customHeight="1" x14ac:dyDescent="0.25">
      <c r="B11" s="5" t="s">
        <v>5</v>
      </c>
      <c r="C11" s="419"/>
      <c r="D11" s="420"/>
      <c r="E11" s="839">
        <f t="shared" ref="E11:E12" si="0">F11/M11</f>
        <v>0</v>
      </c>
      <c r="F11" s="422"/>
      <c r="G11" s="418"/>
      <c r="H11" s="423"/>
      <c r="I11" s="424">
        <f t="shared" ref="I11:I12" si="1">D11*F11</f>
        <v>0</v>
      </c>
      <c r="J11" s="1043"/>
      <c r="K11" s="1058"/>
      <c r="L11" s="199">
        <v>9.5000000000000001E-2</v>
      </c>
      <c r="M11" s="775">
        <f t="shared" ref="M11:M14" si="2">1+L11</f>
        <v>1.095</v>
      </c>
      <c r="O11" s="774"/>
      <c r="P11" s="12"/>
      <c r="Q11" s="3"/>
      <c r="R11" s="3"/>
    </row>
    <row r="12" spans="2:19" ht="21.2" customHeight="1" x14ac:dyDescent="0.25">
      <c r="B12" s="5" t="s">
        <v>5</v>
      </c>
      <c r="C12" s="419"/>
      <c r="D12" s="420"/>
      <c r="E12" s="839">
        <f t="shared" si="0"/>
        <v>0</v>
      </c>
      <c r="F12" s="422"/>
      <c r="G12" s="418"/>
      <c r="H12" s="423"/>
      <c r="I12" s="424">
        <f t="shared" si="1"/>
        <v>0</v>
      </c>
      <c r="J12" s="1043"/>
      <c r="K12" s="1058"/>
      <c r="L12" s="199">
        <v>9.5000000000000001E-2</v>
      </c>
      <c r="M12" s="775">
        <f t="shared" si="2"/>
        <v>1.095</v>
      </c>
    </row>
    <row r="13" spans="2:19" ht="21.2" hidden="1" customHeight="1" x14ac:dyDescent="0.25">
      <c r="B13" s="5" t="s">
        <v>5</v>
      </c>
      <c r="C13" s="28"/>
      <c r="D13" s="42"/>
      <c r="E13" s="51"/>
      <c r="F13" s="197"/>
      <c r="G13" s="198"/>
      <c r="H13" s="18" t="s">
        <v>0</v>
      </c>
      <c r="I13" s="218">
        <f>D13*E13</f>
        <v>0</v>
      </c>
      <c r="J13" s="1043"/>
      <c r="K13" s="1058"/>
      <c r="L13" s="199"/>
      <c r="M13" s="775">
        <f t="shared" si="2"/>
        <v>1</v>
      </c>
      <c r="O13" s="66" t="s">
        <v>184</v>
      </c>
    </row>
    <row r="14" spans="2:19" ht="21.2" hidden="1" customHeight="1" x14ac:dyDescent="0.25">
      <c r="B14" s="5" t="s">
        <v>5</v>
      </c>
      <c r="C14" s="28"/>
      <c r="D14" s="42"/>
      <c r="E14" s="51"/>
      <c r="F14" s="197"/>
      <c r="G14" s="198"/>
      <c r="H14" s="18" t="s">
        <v>0</v>
      </c>
      <c r="I14" s="218">
        <f>D14*E14</f>
        <v>0</v>
      </c>
      <c r="M14" s="775">
        <f t="shared" si="2"/>
        <v>1</v>
      </c>
      <c r="Q14" s="67"/>
      <c r="S14" s="67"/>
    </row>
    <row r="15" spans="2:19" ht="24.75" customHeight="1" thickBot="1" x14ac:dyDescent="0.35">
      <c r="B15" s="23" t="s">
        <v>57</v>
      </c>
      <c r="C15" s="24"/>
      <c r="D15" s="25"/>
      <c r="E15" s="25"/>
      <c r="F15" s="25"/>
      <c r="G15" s="26"/>
      <c r="H15" s="27" t="s">
        <v>0</v>
      </c>
      <c r="I15" s="59">
        <f>SUM(I10:I14)</f>
        <v>12000</v>
      </c>
      <c r="K15" s="11"/>
    </row>
    <row r="16" spans="2:19" ht="39.75" customHeight="1" x14ac:dyDescent="0.25">
      <c r="B16" s="53" t="s">
        <v>162</v>
      </c>
      <c r="C16" s="54"/>
      <c r="D16" s="55" t="s">
        <v>126</v>
      </c>
      <c r="E16" s="55" t="s">
        <v>179</v>
      </c>
      <c r="F16" s="56"/>
      <c r="G16" s="57" t="s">
        <v>17</v>
      </c>
      <c r="H16" s="883" t="s">
        <v>161</v>
      </c>
      <c r="I16" s="884"/>
      <c r="K16" s="882"/>
      <c r="L16" s="882"/>
      <c r="M16" s="882"/>
      <c r="N16" s="882"/>
      <c r="O16" s="882"/>
      <c r="P16" s="882"/>
      <c r="Q16" s="882"/>
    </row>
    <row r="17" spans="2:15" ht="21.2" customHeight="1" x14ac:dyDescent="0.25">
      <c r="B17" s="14" t="s">
        <v>6</v>
      </c>
      <c r="C17" s="38" t="s">
        <v>198</v>
      </c>
      <c r="D17" s="85">
        <f>D10</f>
        <v>1</v>
      </c>
      <c r="E17" s="51">
        <v>5500</v>
      </c>
      <c r="F17" s="98"/>
      <c r="G17" s="33" t="s">
        <v>43</v>
      </c>
      <c r="H17" s="20" t="s">
        <v>0</v>
      </c>
      <c r="I17" s="220">
        <f>D17*E17</f>
        <v>5500</v>
      </c>
      <c r="K17" s="11" t="s">
        <v>31</v>
      </c>
    </row>
    <row r="18" spans="2:15" ht="21.2" customHeight="1" x14ac:dyDescent="0.25">
      <c r="B18" s="5"/>
      <c r="C18" s="6"/>
      <c r="D18" s="16" t="s">
        <v>37</v>
      </c>
      <c r="E18" s="17" t="s">
        <v>38</v>
      </c>
      <c r="F18" s="16" t="s">
        <v>39</v>
      </c>
      <c r="G18" s="69" t="s">
        <v>125</v>
      </c>
      <c r="H18" s="18" t="s">
        <v>0</v>
      </c>
      <c r="I18" s="221"/>
      <c r="K18" s="11" t="s">
        <v>32</v>
      </c>
    </row>
    <row r="19" spans="2:15" ht="21.2" customHeight="1" x14ac:dyDescent="0.25">
      <c r="B19" s="5" t="s">
        <v>18</v>
      </c>
      <c r="C19" s="173" t="s">
        <v>310</v>
      </c>
      <c r="D19" s="44">
        <v>1.5</v>
      </c>
      <c r="E19" s="35">
        <v>1.07</v>
      </c>
      <c r="F19" s="36">
        <v>180</v>
      </c>
      <c r="G19" s="102">
        <f t="shared" ref="G19:G27" si="3">D19*F19/100</f>
        <v>2.7</v>
      </c>
      <c r="H19" s="18" t="s">
        <v>0</v>
      </c>
      <c r="I19" s="220">
        <f t="shared" ref="I19:I27" si="4">D19*E19*F19</f>
        <v>288.89999999999998</v>
      </c>
    </row>
    <row r="20" spans="2:15" ht="21.2" customHeight="1" x14ac:dyDescent="0.25">
      <c r="B20" s="5" t="s">
        <v>19</v>
      </c>
      <c r="C20" s="173" t="s">
        <v>308</v>
      </c>
      <c r="D20" s="44">
        <v>0.5</v>
      </c>
      <c r="E20" s="35">
        <v>0.32</v>
      </c>
      <c r="F20" s="173">
        <f>C9</f>
        <v>485.16666666666674</v>
      </c>
      <c r="G20" s="102">
        <f t="shared" si="3"/>
        <v>2.4258333333333337</v>
      </c>
      <c r="H20" s="18" t="s">
        <v>0</v>
      </c>
      <c r="I20" s="220">
        <f t="shared" si="4"/>
        <v>77.626666666666679</v>
      </c>
      <c r="K20" s="11" t="s">
        <v>165</v>
      </c>
      <c r="L20" s="11"/>
    </row>
    <row r="21" spans="2:15" ht="21.2" customHeight="1" x14ac:dyDescent="0.25">
      <c r="B21" s="5" t="s">
        <v>20</v>
      </c>
      <c r="C21" s="173" t="s">
        <v>309</v>
      </c>
      <c r="D21" s="44">
        <v>2.5</v>
      </c>
      <c r="E21" s="35">
        <v>0.32</v>
      </c>
      <c r="F21" s="173">
        <f>C8</f>
        <v>549</v>
      </c>
      <c r="G21" s="103">
        <f t="shared" si="3"/>
        <v>13.725</v>
      </c>
      <c r="H21" s="18" t="s">
        <v>0</v>
      </c>
      <c r="I21" s="220">
        <f t="shared" si="4"/>
        <v>439.20000000000005</v>
      </c>
      <c r="K21" s="11" t="s">
        <v>60</v>
      </c>
      <c r="L21" s="11"/>
    </row>
    <row r="22" spans="2:15" ht="21.2" customHeight="1" x14ac:dyDescent="0.25">
      <c r="B22" s="5" t="s">
        <v>21</v>
      </c>
      <c r="C22" s="173" t="s">
        <v>50</v>
      </c>
      <c r="D22" s="44">
        <v>1</v>
      </c>
      <c r="E22" s="35">
        <v>0.19</v>
      </c>
      <c r="F22" s="173">
        <f>C9</f>
        <v>485.16666666666674</v>
      </c>
      <c r="G22" s="102">
        <f t="shared" si="3"/>
        <v>4.8516666666666675</v>
      </c>
      <c r="H22" s="18" t="s">
        <v>0</v>
      </c>
      <c r="I22" s="220">
        <f t="shared" si="4"/>
        <v>92.181666666666686</v>
      </c>
      <c r="K22" s="11"/>
      <c r="L22" s="11"/>
    </row>
    <row r="23" spans="2:15" ht="21.2" customHeight="1" x14ac:dyDescent="0.25">
      <c r="B23" s="5" t="s">
        <v>22</v>
      </c>
      <c r="C23" s="173" t="s">
        <v>61</v>
      </c>
      <c r="D23" s="44">
        <v>6</v>
      </c>
      <c r="E23" s="35">
        <v>0.19</v>
      </c>
      <c r="F23" s="173">
        <f>C8</f>
        <v>549</v>
      </c>
      <c r="G23" s="102">
        <f t="shared" si="3"/>
        <v>32.94</v>
      </c>
      <c r="H23" s="18" t="s">
        <v>0</v>
      </c>
      <c r="I23" s="220">
        <f t="shared" si="4"/>
        <v>625.86</v>
      </c>
      <c r="K23" s="11"/>
      <c r="L23" s="11"/>
    </row>
    <row r="24" spans="2:15" ht="21.2" customHeight="1" x14ac:dyDescent="0.25">
      <c r="B24" s="5" t="s">
        <v>35</v>
      </c>
      <c r="C24" s="173" t="s">
        <v>294</v>
      </c>
      <c r="D24" s="44">
        <v>30</v>
      </c>
      <c r="E24" s="35">
        <v>0.04</v>
      </c>
      <c r="F24" s="173">
        <f>C9</f>
        <v>485.16666666666674</v>
      </c>
      <c r="G24" s="102">
        <f t="shared" si="3"/>
        <v>145.55000000000001</v>
      </c>
      <c r="H24" s="18" t="s">
        <v>0</v>
      </c>
      <c r="I24" s="220">
        <f t="shared" si="4"/>
        <v>582.20000000000005</v>
      </c>
      <c r="K24" s="11"/>
      <c r="L24" s="11"/>
      <c r="N24" s="11"/>
    </row>
    <row r="25" spans="2:15" ht="21.2" customHeight="1" x14ac:dyDescent="0.25">
      <c r="B25" s="451" t="s">
        <v>293</v>
      </c>
      <c r="C25" s="580" t="s">
        <v>41</v>
      </c>
      <c r="D25" s="453">
        <v>0.08</v>
      </c>
      <c r="E25" s="454">
        <v>1.6</v>
      </c>
      <c r="F25" s="580">
        <f>C6</f>
        <v>1034.1666666666667</v>
      </c>
      <c r="G25" s="552">
        <f>D25*F25/100</f>
        <v>0.82733333333333337</v>
      </c>
      <c r="H25" s="457" t="s">
        <v>0</v>
      </c>
      <c r="I25" s="458">
        <f>D25*E25*F25</f>
        <v>132.37333333333333</v>
      </c>
      <c r="K25" s="11"/>
      <c r="L25" s="2" t="s">
        <v>228</v>
      </c>
      <c r="M25" s="276"/>
      <c r="N25" s="628">
        <f>SUM(I19:I25)</f>
        <v>2238.3416666666667</v>
      </c>
      <c r="O25" s="623">
        <f>SUM(J20:J25)</f>
        <v>0</v>
      </c>
    </row>
    <row r="26" spans="2:15" ht="21.2" customHeight="1" x14ac:dyDescent="0.25">
      <c r="B26" s="14" t="s">
        <v>11</v>
      </c>
      <c r="C26" s="205" t="s">
        <v>201</v>
      </c>
      <c r="D26" s="99">
        <v>3</v>
      </c>
      <c r="E26" s="100">
        <v>0.11</v>
      </c>
      <c r="F26" s="205">
        <f>C9</f>
        <v>485.16666666666674</v>
      </c>
      <c r="G26" s="551">
        <f t="shared" si="3"/>
        <v>14.555000000000001</v>
      </c>
      <c r="H26" s="19" t="s">
        <v>0</v>
      </c>
      <c r="I26" s="218">
        <f t="shared" si="4"/>
        <v>160.10500000000005</v>
      </c>
      <c r="N26" s="626"/>
      <c r="O26" s="624"/>
    </row>
    <row r="27" spans="2:15" ht="21.2" customHeight="1" x14ac:dyDescent="0.25">
      <c r="B27" s="5" t="s">
        <v>11</v>
      </c>
      <c r="C27" s="173" t="s">
        <v>202</v>
      </c>
      <c r="D27" s="99">
        <v>6</v>
      </c>
      <c r="E27" s="35">
        <v>0.11</v>
      </c>
      <c r="F27" s="173">
        <f>C8</f>
        <v>549</v>
      </c>
      <c r="G27" s="102">
        <f t="shared" si="3"/>
        <v>32.94</v>
      </c>
      <c r="H27" s="19" t="s">
        <v>0</v>
      </c>
      <c r="I27" s="220">
        <f t="shared" si="4"/>
        <v>362.34000000000003</v>
      </c>
      <c r="K27" s="11"/>
      <c r="L27" s="2" t="s">
        <v>315</v>
      </c>
      <c r="N27" s="626">
        <f>SUM(I26:I27)</f>
        <v>522.44500000000005</v>
      </c>
      <c r="O27" s="626">
        <f>SUM(J26:J27)</f>
        <v>0</v>
      </c>
    </row>
    <row r="28" spans="2:15" ht="21.2" customHeight="1" x14ac:dyDescent="0.25">
      <c r="B28" s="14" t="s">
        <v>10</v>
      </c>
      <c r="C28" s="620" t="s">
        <v>27</v>
      </c>
      <c r="D28" s="38">
        <v>40</v>
      </c>
      <c r="E28" s="40">
        <v>2.14</v>
      </c>
      <c r="F28" s="173">
        <f>C6</f>
        <v>1034.1666666666667</v>
      </c>
      <c r="G28" s="101">
        <f>D28*F28/1000</f>
        <v>41.366666666666674</v>
      </c>
      <c r="H28" s="20" t="s">
        <v>0</v>
      </c>
      <c r="I28" s="218">
        <f>D28*E28*F28/1000</f>
        <v>88.52466666666669</v>
      </c>
    </row>
    <row r="29" spans="2:15" ht="21.2" customHeight="1" x14ac:dyDescent="0.25">
      <c r="B29" s="5" t="s">
        <v>1</v>
      </c>
      <c r="C29" s="6"/>
      <c r="D29" s="105"/>
      <c r="E29" s="45"/>
      <c r="F29" s="47"/>
      <c r="G29" s="144"/>
      <c r="H29" s="145" t="s">
        <v>0</v>
      </c>
      <c r="I29" s="223"/>
    </row>
    <row r="30" spans="2:15" ht="21.2" customHeight="1" x14ac:dyDescent="0.25">
      <c r="B30" s="46"/>
      <c r="C30" s="47"/>
      <c r="D30" s="22" t="s">
        <v>23</v>
      </c>
      <c r="E30" s="22" t="s">
        <v>450</v>
      </c>
      <c r="F30" s="22" t="s">
        <v>24</v>
      </c>
      <c r="G30" s="48"/>
      <c r="H30" s="49"/>
      <c r="I30" s="223"/>
    </row>
    <row r="31" spans="2:15" ht="21.2" customHeight="1" x14ac:dyDescent="0.25">
      <c r="B31" s="5" t="s">
        <v>12</v>
      </c>
      <c r="C31" s="6" t="s">
        <v>16</v>
      </c>
      <c r="D31" s="36">
        <v>100</v>
      </c>
      <c r="E31" s="35">
        <v>0.36</v>
      </c>
      <c r="F31" s="65">
        <f>$C$5</f>
        <v>2.8333333333333335</v>
      </c>
      <c r="G31" s="29"/>
      <c r="H31" s="18" t="s">
        <v>0</v>
      </c>
      <c r="I31" s="220">
        <f t="shared" ref="I31:I42" si="5">D31*E31*F31</f>
        <v>102</v>
      </c>
    </row>
    <row r="32" spans="2:15" ht="21.2" customHeight="1" x14ac:dyDescent="0.25">
      <c r="B32" s="5" t="s">
        <v>8</v>
      </c>
      <c r="C32" s="6"/>
      <c r="D32" s="36">
        <v>1</v>
      </c>
      <c r="E32" s="39">
        <v>360</v>
      </c>
      <c r="F32" s="65">
        <f t="shared" ref="F32:F38" si="6">$C$5</f>
        <v>2.8333333333333335</v>
      </c>
      <c r="G32" s="29"/>
      <c r="H32" s="18" t="s">
        <v>0</v>
      </c>
      <c r="I32" s="220">
        <f t="shared" si="5"/>
        <v>1020</v>
      </c>
    </row>
    <row r="33" spans="2:15" ht="21.2" customHeight="1" x14ac:dyDescent="0.25">
      <c r="B33" s="5" t="s">
        <v>7</v>
      </c>
      <c r="C33" s="28" t="s">
        <v>203</v>
      </c>
      <c r="D33" s="34">
        <v>4</v>
      </c>
      <c r="E33" s="39">
        <v>36</v>
      </c>
      <c r="F33" s="65">
        <f t="shared" si="6"/>
        <v>2.8333333333333335</v>
      </c>
      <c r="G33" s="29"/>
      <c r="H33" s="18" t="s">
        <v>0</v>
      </c>
      <c r="I33" s="220">
        <f t="shared" si="5"/>
        <v>408</v>
      </c>
    </row>
    <row r="34" spans="2:15" ht="21.2" customHeight="1" x14ac:dyDescent="0.25">
      <c r="B34" s="5" t="s">
        <v>15</v>
      </c>
      <c r="C34" s="28" t="s">
        <v>174</v>
      </c>
      <c r="D34" s="34">
        <v>5</v>
      </c>
      <c r="E34" s="39">
        <v>8.5</v>
      </c>
      <c r="F34" s="65">
        <f t="shared" si="6"/>
        <v>2.8333333333333335</v>
      </c>
      <c r="G34" s="29"/>
      <c r="H34" s="18" t="s">
        <v>0</v>
      </c>
      <c r="I34" s="220">
        <f t="shared" si="5"/>
        <v>120.41666666666667</v>
      </c>
    </row>
    <row r="35" spans="2:15" ht="21.2" customHeight="1" x14ac:dyDescent="0.25">
      <c r="B35" s="5" t="s">
        <v>9</v>
      </c>
      <c r="C35" s="28"/>
      <c r="D35" s="34">
        <v>1</v>
      </c>
      <c r="E35" s="39">
        <v>60</v>
      </c>
      <c r="F35" s="65">
        <f t="shared" si="6"/>
        <v>2.8333333333333335</v>
      </c>
      <c r="G35" s="29"/>
      <c r="H35" s="18" t="s">
        <v>0</v>
      </c>
      <c r="I35" s="220">
        <f t="shared" si="5"/>
        <v>170</v>
      </c>
    </row>
    <row r="36" spans="2:15" ht="21.2" customHeight="1" x14ac:dyDescent="0.25">
      <c r="B36" s="5" t="s">
        <v>163</v>
      </c>
      <c r="C36" s="28"/>
      <c r="D36" s="34"/>
      <c r="E36" s="39"/>
      <c r="F36" s="65">
        <f t="shared" si="6"/>
        <v>2.8333333333333335</v>
      </c>
      <c r="G36" s="29"/>
      <c r="H36" s="18" t="s">
        <v>0</v>
      </c>
      <c r="I36" s="220">
        <f t="shared" si="5"/>
        <v>0</v>
      </c>
    </row>
    <row r="37" spans="2:15" ht="21.2" customHeight="1" x14ac:dyDescent="0.25">
      <c r="B37" s="5" t="s">
        <v>68</v>
      </c>
      <c r="C37" s="28" t="s">
        <v>303</v>
      </c>
      <c r="D37" s="34">
        <v>1</v>
      </c>
      <c r="E37" s="39">
        <v>25</v>
      </c>
      <c r="F37" s="65">
        <f t="shared" si="6"/>
        <v>2.8333333333333335</v>
      </c>
      <c r="G37" s="29"/>
      <c r="H37" s="18" t="s">
        <v>0</v>
      </c>
      <c r="I37" s="220">
        <f t="shared" si="5"/>
        <v>70.833333333333343</v>
      </c>
      <c r="L37" s="2" t="s">
        <v>26</v>
      </c>
    </row>
    <row r="38" spans="2:15" ht="21.2" customHeight="1" x14ac:dyDescent="0.25">
      <c r="B38" s="5" t="s">
        <v>14</v>
      </c>
      <c r="C38" s="28"/>
      <c r="D38" s="34">
        <v>1</v>
      </c>
      <c r="E38" s="39">
        <v>5</v>
      </c>
      <c r="F38" s="65">
        <f t="shared" si="6"/>
        <v>2.8333333333333335</v>
      </c>
      <c r="G38" s="29"/>
      <c r="H38" s="18" t="s">
        <v>0</v>
      </c>
      <c r="I38" s="220">
        <f t="shared" si="5"/>
        <v>14.166666666666668</v>
      </c>
    </row>
    <row r="39" spans="2:15" ht="21.2" customHeight="1" x14ac:dyDescent="0.25">
      <c r="B39" s="5" t="s">
        <v>33</v>
      </c>
      <c r="C39" s="28" t="s">
        <v>205</v>
      </c>
      <c r="D39" s="34">
        <v>3</v>
      </c>
      <c r="E39" s="39">
        <v>360</v>
      </c>
      <c r="F39" s="229">
        <v>1</v>
      </c>
      <c r="G39" s="29"/>
      <c r="H39" s="18" t="s">
        <v>0</v>
      </c>
      <c r="I39" s="220">
        <f t="shared" si="5"/>
        <v>1080</v>
      </c>
    </row>
    <row r="40" spans="2:15" ht="21.2" customHeight="1" x14ac:dyDescent="0.25">
      <c r="B40" s="7" t="s">
        <v>2</v>
      </c>
      <c r="C40" s="30" t="s">
        <v>36</v>
      </c>
      <c r="D40" s="34">
        <v>1</v>
      </c>
      <c r="E40" s="39">
        <v>11</v>
      </c>
      <c r="F40" s="229">
        <f>F31</f>
        <v>2.8333333333333335</v>
      </c>
      <c r="G40" s="31"/>
      <c r="H40" s="18" t="s">
        <v>0</v>
      </c>
      <c r="I40" s="220">
        <f t="shared" si="5"/>
        <v>31.166666666666668</v>
      </c>
      <c r="K40" s="11"/>
    </row>
    <row r="41" spans="2:15" ht="21.2" customHeight="1" x14ac:dyDescent="0.25">
      <c r="B41" s="7" t="s">
        <v>2</v>
      </c>
      <c r="C41" s="30" t="s">
        <v>382</v>
      </c>
      <c r="D41" s="777"/>
      <c r="E41" s="778">
        <f>I10</f>
        <v>12000</v>
      </c>
      <c r="F41" s="229">
        <v>1</v>
      </c>
      <c r="G41" s="31" t="s">
        <v>418</v>
      </c>
      <c r="H41" s="18"/>
      <c r="I41" s="220">
        <f>D41*E41*F41</f>
        <v>0</v>
      </c>
      <c r="K41" s="11"/>
    </row>
    <row r="42" spans="2:15" ht="21.2" customHeight="1" x14ac:dyDescent="0.25">
      <c r="B42" s="193" t="s">
        <v>2</v>
      </c>
      <c r="C42" s="194" t="s">
        <v>204</v>
      </c>
      <c r="D42" s="34">
        <f>1/F42</f>
        <v>1</v>
      </c>
      <c r="E42" s="39">
        <v>180</v>
      </c>
      <c r="F42" s="229">
        <v>1</v>
      </c>
      <c r="G42" s="31"/>
      <c r="H42" s="18" t="s">
        <v>0</v>
      </c>
      <c r="I42" s="220">
        <f t="shared" si="5"/>
        <v>180</v>
      </c>
      <c r="K42" s="11"/>
    </row>
    <row r="43" spans="2:15" ht="21.2" customHeight="1" x14ac:dyDescent="0.25">
      <c r="B43" s="186" t="s">
        <v>170</v>
      </c>
      <c r="C43" s="192"/>
      <c r="D43" s="191">
        <v>0.04</v>
      </c>
      <c r="E43" s="190">
        <f>E17</f>
        <v>5500</v>
      </c>
      <c r="F43" s="189">
        <f>$F$31</f>
        <v>2.8333333333333335</v>
      </c>
      <c r="G43" s="31"/>
      <c r="H43" s="187" t="s">
        <v>0</v>
      </c>
      <c r="I43" s="224">
        <f>E43*D43*F43</f>
        <v>623.33333333333337</v>
      </c>
      <c r="K43" s="11"/>
    </row>
    <row r="44" spans="2:15" s="825" customFormat="1" ht="24.75" customHeight="1" x14ac:dyDescent="0.3">
      <c r="B44" s="1046" t="s">
        <v>62</v>
      </c>
      <c r="C44" s="1047"/>
      <c r="D44" s="1047"/>
      <c r="E44" s="1047"/>
      <c r="F44" s="1047"/>
      <c r="G44" s="1048"/>
      <c r="H44" s="823" t="s">
        <v>0</v>
      </c>
      <c r="I44" s="824">
        <f>SUM(I17:I43)</f>
        <v>12169.227999999997</v>
      </c>
      <c r="K44" s="826"/>
    </row>
    <row r="45" spans="2:15" ht="24.75" customHeight="1" thickBot="1" x14ac:dyDescent="0.35">
      <c r="B45" s="822" t="s">
        <v>455</v>
      </c>
      <c r="C45" s="819"/>
      <c r="D45" s="819"/>
      <c r="E45" s="819"/>
      <c r="F45" s="819"/>
      <c r="G45" s="819"/>
      <c r="H45" s="820"/>
      <c r="I45" s="821"/>
      <c r="K45" s="225"/>
    </row>
    <row r="46" spans="2:15" ht="28.5" customHeight="1" thickTop="1" thickBot="1" x14ac:dyDescent="0.4">
      <c r="B46" s="73" t="s">
        <v>127</v>
      </c>
      <c r="C46" s="74"/>
      <c r="D46" s="70"/>
      <c r="E46" s="70"/>
      <c r="F46" s="70"/>
      <c r="G46" s="70"/>
      <c r="H46" s="71" t="s">
        <v>0</v>
      </c>
      <c r="I46" s="416">
        <f>I15-I44</f>
        <v>-169.22799999999734</v>
      </c>
      <c r="J46" s="13"/>
      <c r="L46" s="226"/>
    </row>
    <row r="47" spans="2:15" ht="23.25" customHeight="1" x14ac:dyDescent="0.25">
      <c r="B47" s="888" t="s">
        <v>56</v>
      </c>
      <c r="C47" s="889"/>
      <c r="D47" s="82">
        <v>50</v>
      </c>
      <c r="E47" s="76" t="s">
        <v>229</v>
      </c>
      <c r="F47" s="96">
        <v>18</v>
      </c>
      <c r="G47" s="93" t="s">
        <v>48</v>
      </c>
      <c r="H47" s="77" t="s">
        <v>0</v>
      </c>
      <c r="I47" s="415">
        <f>D47*$C$5*F47</f>
        <v>2550.0000000000005</v>
      </c>
      <c r="J47" s="13"/>
      <c r="K47" s="225"/>
      <c r="L47" s="546" t="s">
        <v>279</v>
      </c>
      <c r="M47" s="857" t="s">
        <v>280</v>
      </c>
      <c r="N47" s="857"/>
      <c r="O47" s="547" t="s">
        <v>281</v>
      </c>
    </row>
    <row r="48" spans="2:15" ht="23.25" customHeight="1" x14ac:dyDescent="0.25">
      <c r="B48" s="890" t="s">
        <v>52</v>
      </c>
      <c r="C48" s="891"/>
      <c r="D48" s="488">
        <v>4800</v>
      </c>
      <c r="E48" s="79" t="s">
        <v>258</v>
      </c>
      <c r="F48" s="549">
        <f>SUM(L48:O48)*100</f>
        <v>6.0000000000000009</v>
      </c>
      <c r="G48" s="94" t="s">
        <v>254</v>
      </c>
      <c r="H48" s="80" t="s">
        <v>0</v>
      </c>
      <c r="I48" s="81">
        <f>D48*$C$5*F48/100</f>
        <v>816.00000000000011</v>
      </c>
      <c r="J48" s="13"/>
      <c r="K48" s="225" t="s">
        <v>318</v>
      </c>
      <c r="L48" s="577">
        <v>0.03</v>
      </c>
      <c r="M48" s="925">
        <v>0.02</v>
      </c>
      <c r="N48" s="926"/>
      <c r="O48" s="577">
        <v>0.01</v>
      </c>
    </row>
    <row r="49" spans="2:19" ht="23.25" customHeight="1" x14ac:dyDescent="0.25">
      <c r="B49" s="890" t="s">
        <v>53</v>
      </c>
      <c r="C49" s="891"/>
      <c r="D49" s="488"/>
      <c r="E49" s="79" t="s">
        <v>258</v>
      </c>
      <c r="F49" s="549">
        <f>SUM(L49:O49)*100</f>
        <v>6.5</v>
      </c>
      <c r="G49" s="94" t="s">
        <v>254</v>
      </c>
      <c r="H49" s="80" t="s">
        <v>0</v>
      </c>
      <c r="I49" s="81">
        <f>D49*$C$5*F49/100</f>
        <v>0</v>
      </c>
      <c r="J49" s="13"/>
      <c r="K49" s="225" t="s">
        <v>319</v>
      </c>
      <c r="L49" s="577">
        <v>2.5000000000000001E-2</v>
      </c>
      <c r="M49" s="925">
        <v>0.02</v>
      </c>
      <c r="N49" s="926"/>
      <c r="O49" s="577">
        <v>0.02</v>
      </c>
    </row>
    <row r="50" spans="2:19" ht="23.25" customHeight="1" x14ac:dyDescent="0.25">
      <c r="B50" s="890" t="s">
        <v>135</v>
      </c>
      <c r="C50" s="891"/>
      <c r="D50" s="488">
        <v>600</v>
      </c>
      <c r="E50" s="79" t="s">
        <v>258</v>
      </c>
      <c r="F50" s="549">
        <f>SUM(L50:O50)*100</f>
        <v>10</v>
      </c>
      <c r="G50" s="94" t="s">
        <v>254</v>
      </c>
      <c r="H50" s="80" t="s">
        <v>0</v>
      </c>
      <c r="I50" s="81">
        <f>D50*$C$5*F50/100</f>
        <v>170</v>
      </c>
      <c r="J50" s="13"/>
      <c r="K50" s="225" t="s">
        <v>320</v>
      </c>
      <c r="L50" s="577">
        <v>0.08</v>
      </c>
      <c r="M50" s="925">
        <v>0.02</v>
      </c>
      <c r="N50" s="926"/>
      <c r="O50" s="578"/>
    </row>
    <row r="51" spans="2:19" ht="23.25" customHeight="1" x14ac:dyDescent="0.25">
      <c r="B51" s="890" t="s">
        <v>391</v>
      </c>
      <c r="C51" s="891"/>
      <c r="D51" s="83">
        <v>0.6</v>
      </c>
      <c r="E51" s="79" t="s">
        <v>230</v>
      </c>
      <c r="F51" s="97">
        <v>200</v>
      </c>
      <c r="G51" s="94" t="s">
        <v>34</v>
      </c>
      <c r="H51" s="80" t="s">
        <v>0</v>
      </c>
      <c r="I51" s="81">
        <f>D51*$C$5*F51</f>
        <v>340</v>
      </c>
      <c r="J51" s="13"/>
      <c r="K51" s="225"/>
      <c r="L51" s="226"/>
    </row>
    <row r="52" spans="2:19" ht="23.25" customHeight="1" x14ac:dyDescent="0.25">
      <c r="B52" s="898" t="s">
        <v>137</v>
      </c>
      <c r="C52" s="899"/>
      <c r="D52" s="488">
        <v>20000</v>
      </c>
      <c r="E52" s="79" t="s">
        <v>256</v>
      </c>
      <c r="F52" s="92">
        <v>180</v>
      </c>
      <c r="G52" s="95" t="s">
        <v>231</v>
      </c>
      <c r="H52" s="19" t="s">
        <v>0</v>
      </c>
      <c r="I52" s="81">
        <f>F52*C5</f>
        <v>510</v>
      </c>
      <c r="J52" s="13"/>
      <c r="K52" s="225"/>
      <c r="L52" s="226"/>
    </row>
    <row r="53" spans="2:19" ht="23.25" customHeight="1" thickBot="1" x14ac:dyDescent="0.35">
      <c r="B53" s="892" t="s">
        <v>65</v>
      </c>
      <c r="C53" s="893"/>
      <c r="D53" s="893"/>
      <c r="E53" s="893"/>
      <c r="F53" s="893"/>
      <c r="G53" s="894"/>
      <c r="H53" s="770" t="s">
        <v>0</v>
      </c>
      <c r="I53" s="771">
        <f>SUM(I47:I52)</f>
        <v>4386</v>
      </c>
      <c r="J53" s="13"/>
      <c r="K53" s="225"/>
      <c r="L53" s="226"/>
    </row>
    <row r="54" spans="2:19" ht="23.25" customHeight="1" thickBot="1" x14ac:dyDescent="0.35">
      <c r="B54" s="764" t="s">
        <v>379</v>
      </c>
      <c r="C54" s="765"/>
      <c r="D54" s="765"/>
      <c r="E54" s="765"/>
      <c r="F54" s="765"/>
      <c r="G54" s="766"/>
      <c r="H54" s="767" t="s">
        <v>0</v>
      </c>
      <c r="I54" s="768">
        <f>I44+I53</f>
        <v>16555.227999999996</v>
      </c>
      <c r="J54" s="13"/>
      <c r="K54" s="225"/>
      <c r="L54" s="226"/>
    </row>
    <row r="55" spans="2:19" ht="25.5" customHeight="1" thickTop="1" x14ac:dyDescent="0.35">
      <c r="B55" s="761" t="s">
        <v>378</v>
      </c>
      <c r="C55" s="232"/>
      <c r="D55" s="232"/>
      <c r="E55" s="232"/>
      <c r="F55" s="232"/>
      <c r="G55" s="233"/>
      <c r="H55" s="240" t="s">
        <v>0</v>
      </c>
      <c r="I55" s="241">
        <f>I15-I54</f>
        <v>-4555.2279999999955</v>
      </c>
      <c r="J55" s="13"/>
      <c r="K55" s="1028" t="s">
        <v>213</v>
      </c>
      <c r="L55" s="1029"/>
      <c r="M55" s="1029"/>
      <c r="N55" s="1029"/>
      <c r="O55" s="1029"/>
      <c r="P55" s="1029"/>
      <c r="Q55" s="1029"/>
      <c r="R55" s="1029"/>
      <c r="S55" s="1029"/>
    </row>
    <row r="56" spans="2:19" ht="25.5" customHeight="1" x14ac:dyDescent="0.35">
      <c r="B56" s="242" t="s">
        <v>191</v>
      </c>
      <c r="C56" s="243"/>
      <c r="D56" s="243"/>
      <c r="E56" s="243"/>
      <c r="F56" s="243"/>
      <c r="G56" s="244" t="s">
        <v>206</v>
      </c>
      <c r="H56" s="237" t="s">
        <v>0</v>
      </c>
      <c r="I56" s="238">
        <f>I55+I47</f>
        <v>-2005.2279999999951</v>
      </c>
      <c r="J56" s="13"/>
      <c r="K56" s="1029"/>
      <c r="L56" s="1029"/>
      <c r="M56" s="1029"/>
      <c r="N56" s="1029"/>
      <c r="O56" s="1029"/>
      <c r="P56" s="1029"/>
      <c r="Q56" s="1029"/>
      <c r="R56" s="1029"/>
      <c r="S56" s="1029"/>
    </row>
    <row r="57" spans="2:19" ht="25.5" customHeight="1" x14ac:dyDescent="0.35">
      <c r="B57" s="245"/>
      <c r="C57" s="246"/>
      <c r="D57" s="246"/>
      <c r="E57" s="246"/>
      <c r="F57" s="246"/>
      <c r="G57" s="246" t="s">
        <v>192</v>
      </c>
      <c r="H57" s="247" t="s">
        <v>0</v>
      </c>
      <c r="I57" s="248">
        <f>IF(D47=0,0,I56/C5/D47)</f>
        <v>-14.154550588235258</v>
      </c>
      <c r="J57" s="13"/>
      <c r="K57" s="1029"/>
      <c r="L57" s="1029"/>
      <c r="M57" s="1029"/>
      <c r="N57" s="1029"/>
      <c r="O57" s="1029"/>
      <c r="P57" s="1029"/>
      <c r="Q57" s="1029"/>
      <c r="R57" s="1029"/>
      <c r="S57" s="1029"/>
    </row>
    <row r="58" spans="2:19" ht="45.75" customHeight="1" thickBot="1" x14ac:dyDescent="0.4">
      <c r="B58" s="880" t="s">
        <v>71</v>
      </c>
      <c r="C58" s="881"/>
      <c r="D58" s="881"/>
      <c r="E58" s="91" t="s">
        <v>49</v>
      </c>
      <c r="F58" s="231">
        <f>I58/M10</f>
        <v>15118.929680365292</v>
      </c>
      <c r="G58" s="89" t="s">
        <v>43</v>
      </c>
      <c r="H58" s="90" t="s">
        <v>0</v>
      </c>
      <c r="I58" s="227">
        <f>I54</f>
        <v>16555.227999999996</v>
      </c>
      <c r="J58" s="13"/>
      <c r="K58" s="225"/>
      <c r="L58" s="226"/>
    </row>
    <row r="59" spans="2:19" ht="39.200000000000003" customHeight="1" x14ac:dyDescent="0.25">
      <c r="B59" s="3"/>
      <c r="C59" s="3"/>
      <c r="D59" s="3"/>
      <c r="E59" s="3"/>
      <c r="F59" s="3"/>
      <c r="G59" s="12"/>
      <c r="H59" s="3"/>
      <c r="I59" s="177"/>
      <c r="J59" s="13"/>
    </row>
    <row r="61" spans="2:19" x14ac:dyDescent="0.25">
      <c r="F61" s="11"/>
      <c r="G61" s="2"/>
    </row>
  </sheetData>
  <sheetProtection sheet="1" objects="1" scenarios="1"/>
  <mergeCells count="27">
    <mergeCell ref="J10:K13"/>
    <mergeCell ref="B51:C51"/>
    <mergeCell ref="B52:C52"/>
    <mergeCell ref="B53:G53"/>
    <mergeCell ref="K55:S57"/>
    <mergeCell ref="H16:I16"/>
    <mergeCell ref="K16:Q16"/>
    <mergeCell ref="B44:G44"/>
    <mergeCell ref="B58:D58"/>
    <mergeCell ref="B49:C49"/>
    <mergeCell ref="M47:N47"/>
    <mergeCell ref="M48:N48"/>
    <mergeCell ref="M49:N49"/>
    <mergeCell ref="B50:C50"/>
    <mergeCell ref="M50:N50"/>
    <mergeCell ref="B47:C47"/>
    <mergeCell ref="B48:C48"/>
    <mergeCell ref="F5:I8"/>
    <mergeCell ref="D7:D9"/>
    <mergeCell ref="E7:E9"/>
    <mergeCell ref="F9:G9"/>
    <mergeCell ref="H9:I9"/>
    <mergeCell ref="B2:I2"/>
    <mergeCell ref="B3:C3"/>
    <mergeCell ref="D3:E3"/>
    <mergeCell ref="K3:N3"/>
    <mergeCell ref="F4:I4"/>
  </mergeCells>
  <printOptions headings="1"/>
  <pageMargins left="0.70866141732283472" right="0.31496062992125984" top="0.39370078740157483" bottom="0.51181102362204722" header="0.31496062992125984" footer="0.31496062992125984"/>
  <pageSetup paperSize="9" scale="63" orientation="portrait" verticalDpi="1200" r:id="rId1"/>
  <headerFooter>
    <oddFooter>&amp;L&amp;F&amp;C&amp;A&amp;R&amp;D</oddFooter>
  </headerFooter>
  <rowBreaks count="1" manualBreakCount="1">
    <brk id="58" max="1638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60"/>
  <sheetViews>
    <sheetView showGridLines="0" showZeros="0" view="pageLayout" zoomScale="73" zoomScaleNormal="77" zoomScaleSheetLayoutView="75" zoomScalePageLayoutView="73" workbookViewId="0">
      <selection activeCell="L35" sqref="L35"/>
    </sheetView>
  </sheetViews>
  <sheetFormatPr baseColWidth="10" defaultColWidth="11.28515625" defaultRowHeight="18" x14ac:dyDescent="0.25"/>
  <cols>
    <col min="1" max="1" width="1.85546875" style="2" customWidth="1"/>
    <col min="2" max="2" width="26" style="2" customWidth="1"/>
    <col min="3" max="3" width="27.5703125" style="2" customWidth="1"/>
    <col min="4" max="4" width="12.28515625" style="2" customWidth="1"/>
    <col min="5" max="5" width="20.85546875" style="2" customWidth="1"/>
    <col min="6" max="6" width="14.28515625" style="2" customWidth="1"/>
    <col min="7" max="7" width="24.140625" style="11" customWidth="1"/>
    <col min="8" max="8" width="5.28515625" style="2" customWidth="1"/>
    <col min="9" max="9" width="15.7109375" style="2" customWidth="1"/>
    <col min="10" max="10" width="4.85546875" style="2" customWidth="1"/>
    <col min="11" max="11" width="14.28515625" style="2" customWidth="1"/>
    <col min="12" max="12" width="13.28515625" style="2" customWidth="1"/>
    <col min="13" max="13" width="11.7109375" style="2" customWidth="1"/>
    <col min="14" max="14" width="11.28515625" style="2"/>
    <col min="15" max="15" width="19.140625" style="2" customWidth="1"/>
    <col min="16" max="16" width="7.7109375" style="2" customWidth="1"/>
    <col min="17" max="17" width="7.140625" style="2" customWidth="1"/>
    <col min="18" max="18" width="3.7109375" style="2" customWidth="1"/>
    <col min="19" max="19" width="4.7109375" style="2" customWidth="1"/>
    <col min="20" max="16384" width="11.28515625" style="2"/>
  </cols>
  <sheetData>
    <row r="1" spans="2:19" ht="5.25" customHeight="1" thickBot="1" x14ac:dyDescent="0.3"/>
    <row r="2" spans="2:19" ht="36" customHeight="1" thickBot="1" x14ac:dyDescent="0.3">
      <c r="B2" s="866" t="s">
        <v>259</v>
      </c>
      <c r="C2" s="867"/>
      <c r="D2" s="867"/>
      <c r="E2" s="867"/>
      <c r="F2" s="867"/>
      <c r="G2" s="867"/>
      <c r="H2" s="867"/>
      <c r="I2" s="868"/>
    </row>
    <row r="3" spans="2:19" ht="42" customHeight="1" x14ac:dyDescent="0.25">
      <c r="B3" s="869" t="s">
        <v>59</v>
      </c>
      <c r="C3" s="870"/>
      <c r="D3" s="871" t="s">
        <v>178</v>
      </c>
      <c r="E3" s="872"/>
      <c r="F3" s="217"/>
      <c r="G3" s="234" t="s">
        <v>175</v>
      </c>
      <c r="H3" s="204" t="s">
        <v>177</v>
      </c>
      <c r="I3" s="235" t="s">
        <v>176</v>
      </c>
      <c r="J3" s="3"/>
      <c r="K3" s="1057" t="s">
        <v>188</v>
      </c>
      <c r="L3" s="1057"/>
      <c r="M3" s="1057"/>
      <c r="N3" s="1057"/>
    </row>
    <row r="4" spans="2:19" ht="22.7" customHeight="1" x14ac:dyDescent="0.25">
      <c r="B4" s="269" t="s">
        <v>215</v>
      </c>
      <c r="C4" s="535">
        <v>34</v>
      </c>
      <c r="D4" s="259"/>
      <c r="E4" s="260"/>
      <c r="F4" s="874" t="s">
        <v>4</v>
      </c>
      <c r="G4" s="874"/>
      <c r="H4" s="874"/>
      <c r="I4" s="875"/>
      <c r="L4" s="11"/>
      <c r="M4" s="11"/>
      <c r="N4" s="11"/>
      <c r="O4" s="11"/>
      <c r="P4" s="11"/>
      <c r="Q4" s="11"/>
    </row>
    <row r="5" spans="2:19" ht="22.15" customHeight="1" x14ac:dyDescent="0.25">
      <c r="B5" s="258" t="s">
        <v>217</v>
      </c>
      <c r="C5" s="265">
        <f>C4/12</f>
        <v>2.8333333333333335</v>
      </c>
      <c r="D5" s="261"/>
      <c r="E5" s="262"/>
      <c r="F5" s="1051" t="s">
        <v>377</v>
      </c>
      <c r="G5" s="1051"/>
      <c r="H5" s="1051"/>
      <c r="I5" s="1052"/>
      <c r="L5" s="11"/>
      <c r="M5" s="11"/>
      <c r="N5" s="11"/>
      <c r="O5" s="11"/>
      <c r="P5" s="11"/>
      <c r="Q5" s="11"/>
    </row>
    <row r="6" spans="2:19" ht="21.6" customHeight="1" x14ac:dyDescent="0.25">
      <c r="B6" s="258" t="s">
        <v>218</v>
      </c>
      <c r="C6" s="266">
        <f>C5*365</f>
        <v>1034.1666666666667</v>
      </c>
      <c r="D6" s="263"/>
      <c r="E6" s="250"/>
      <c r="F6" s="1053"/>
      <c r="G6" s="1053"/>
      <c r="H6" s="1053"/>
      <c r="I6" s="1054"/>
      <c r="L6" s="11"/>
      <c r="O6" s="11"/>
      <c r="P6" s="11"/>
      <c r="Q6" s="11"/>
    </row>
    <row r="7" spans="2:19" ht="21.6" customHeight="1" x14ac:dyDescent="0.25">
      <c r="B7" s="258" t="s">
        <v>227</v>
      </c>
      <c r="C7" s="536">
        <v>18</v>
      </c>
      <c r="D7" s="907" t="s">
        <v>23</v>
      </c>
      <c r="E7" s="864" t="s">
        <v>180</v>
      </c>
      <c r="F7" s="1055"/>
      <c r="G7" s="1053"/>
      <c r="H7" s="1053"/>
      <c r="I7" s="1054"/>
      <c r="L7" s="11"/>
      <c r="M7" s="11"/>
      <c r="N7" s="11"/>
      <c r="O7" s="11"/>
      <c r="P7" s="11"/>
      <c r="Q7" s="11"/>
    </row>
    <row r="8" spans="2:19" ht="19.899999999999999" customHeight="1" x14ac:dyDescent="0.25">
      <c r="B8" s="271" t="s">
        <v>220</v>
      </c>
      <c r="C8" s="272">
        <f>C7*30.5</f>
        <v>549</v>
      </c>
      <c r="D8" s="907"/>
      <c r="E8" s="864"/>
      <c r="F8" s="860"/>
      <c r="G8" s="861"/>
      <c r="H8" s="861"/>
      <c r="I8" s="862"/>
      <c r="N8" s="11"/>
      <c r="O8" s="11"/>
      <c r="P8" s="11"/>
      <c r="Q8" s="11"/>
    </row>
    <row r="9" spans="2:19" ht="24" customHeight="1" thickBot="1" x14ac:dyDescent="0.3">
      <c r="B9" s="268" t="s">
        <v>219</v>
      </c>
      <c r="C9" s="270">
        <f>C6-C8</f>
        <v>485.16666666666674</v>
      </c>
      <c r="D9" s="1056"/>
      <c r="E9" s="865"/>
      <c r="F9" s="1049" t="s">
        <v>214</v>
      </c>
      <c r="G9" s="1050"/>
      <c r="H9" s="858" t="s">
        <v>160</v>
      </c>
      <c r="I9" s="859"/>
      <c r="K9" s="63"/>
      <c r="L9" s="201" t="s">
        <v>185</v>
      </c>
      <c r="M9" s="202" t="s">
        <v>182</v>
      </c>
      <c r="N9" s="219"/>
      <c r="O9" s="201" t="s">
        <v>187</v>
      </c>
      <c r="P9" s="201"/>
      <c r="Q9" s="11"/>
    </row>
    <row r="10" spans="2:19" ht="21.2" customHeight="1" x14ac:dyDescent="0.25">
      <c r="B10" s="14" t="s">
        <v>3</v>
      </c>
      <c r="C10" s="32" t="s">
        <v>222</v>
      </c>
      <c r="D10" s="41">
        <v>1</v>
      </c>
      <c r="E10" s="426">
        <f>IF(F3&gt;0,F10,F10*M11)</f>
        <v>19097.895</v>
      </c>
      <c r="F10" s="425">
        <v>17441</v>
      </c>
      <c r="G10" s="198" t="s">
        <v>49</v>
      </c>
      <c r="H10" s="20" t="s">
        <v>0</v>
      </c>
      <c r="I10" s="218">
        <f>D10*E10</f>
        <v>19097.895</v>
      </c>
      <c r="K10" s="60"/>
      <c r="L10" s="84">
        <v>0.19</v>
      </c>
      <c r="M10" s="62">
        <f>1+L10</f>
        <v>1.19</v>
      </c>
      <c r="O10" s="66" t="s">
        <v>186</v>
      </c>
    </row>
    <row r="11" spans="2:19" ht="21.2" customHeight="1" x14ac:dyDescent="0.25">
      <c r="B11" s="5"/>
      <c r="C11" s="419"/>
      <c r="D11" s="420"/>
      <c r="E11" s="421"/>
      <c r="F11" s="422"/>
      <c r="G11" s="418"/>
      <c r="H11" s="423" t="s">
        <v>0</v>
      </c>
      <c r="I11" s="424">
        <f>D11*E11</f>
        <v>0</v>
      </c>
      <c r="K11" s="11"/>
      <c r="L11" s="199">
        <v>9.5000000000000001E-2</v>
      </c>
      <c r="M11" s="62">
        <f>1+L11</f>
        <v>1.095</v>
      </c>
      <c r="O11" s="66" t="s">
        <v>181</v>
      </c>
    </row>
    <row r="12" spans="2:19" ht="21.2" customHeight="1" x14ac:dyDescent="0.25">
      <c r="B12" s="5" t="s">
        <v>380</v>
      </c>
      <c r="C12" s="28" t="s">
        <v>226</v>
      </c>
      <c r="D12" s="417">
        <v>0.05</v>
      </c>
      <c r="E12" s="426">
        <f>F10*-1</f>
        <v>-17441</v>
      </c>
      <c r="F12" s="197"/>
      <c r="G12" s="198"/>
      <c r="H12" s="18" t="s">
        <v>0</v>
      </c>
      <c r="I12" s="218">
        <f>D12*E12</f>
        <v>-872.05000000000007</v>
      </c>
      <c r="K12" s="11"/>
      <c r="L12" s="84">
        <v>0.19</v>
      </c>
      <c r="M12" s="62">
        <f>1+L12</f>
        <v>1.19</v>
      </c>
      <c r="O12" s="11" t="s">
        <v>183</v>
      </c>
    </row>
    <row r="13" spans="2:19" ht="21.2" hidden="1" customHeight="1" x14ac:dyDescent="0.25">
      <c r="B13" s="5"/>
      <c r="C13" s="419"/>
      <c r="D13" s="420"/>
      <c r="E13" s="421"/>
      <c r="F13" s="422"/>
      <c r="G13" s="418"/>
      <c r="H13" s="423" t="s">
        <v>0</v>
      </c>
      <c r="I13" s="424">
        <f>D13*E13</f>
        <v>0</v>
      </c>
      <c r="K13" s="11"/>
    </row>
    <row r="14" spans="2:19" ht="21.2" hidden="1" customHeight="1" x14ac:dyDescent="0.25">
      <c r="B14" s="5"/>
      <c r="C14" s="419"/>
      <c r="D14" s="420"/>
      <c r="E14" s="421"/>
      <c r="F14" s="422"/>
      <c r="G14" s="418"/>
      <c r="H14" s="423" t="s">
        <v>0</v>
      </c>
      <c r="I14" s="424">
        <f>D14*E14</f>
        <v>0</v>
      </c>
      <c r="L14" s="199"/>
      <c r="M14" s="200"/>
      <c r="O14" s="66"/>
      <c r="Q14" s="67"/>
      <c r="S14" s="67"/>
    </row>
    <row r="15" spans="2:19" ht="24.75" customHeight="1" thickBot="1" x14ac:dyDescent="0.35">
      <c r="B15" s="23" t="s">
        <v>57</v>
      </c>
      <c r="C15" s="24"/>
      <c r="D15" s="25"/>
      <c r="E15" s="25"/>
      <c r="F15" s="25"/>
      <c r="G15" s="26"/>
      <c r="H15" s="27" t="s">
        <v>0</v>
      </c>
      <c r="I15" s="59">
        <f>SUM(I10:I14)</f>
        <v>18225.845000000001</v>
      </c>
      <c r="K15" s="11"/>
      <c r="L15" s="199"/>
      <c r="M15" s="200"/>
      <c r="O15" s="66"/>
    </row>
    <row r="16" spans="2:19" ht="39.75" customHeight="1" x14ac:dyDescent="0.25">
      <c r="B16" s="53" t="s">
        <v>162</v>
      </c>
      <c r="C16" s="54"/>
      <c r="D16" s="55" t="s">
        <v>126</v>
      </c>
      <c r="E16" s="55" t="s">
        <v>179</v>
      </c>
      <c r="F16" s="56"/>
      <c r="G16" s="57" t="s">
        <v>17</v>
      </c>
      <c r="H16" s="883" t="s">
        <v>161</v>
      </c>
      <c r="I16" s="884"/>
      <c r="K16" s="882"/>
      <c r="L16" s="882"/>
      <c r="M16" s="882"/>
      <c r="N16" s="882"/>
      <c r="O16" s="882"/>
      <c r="P16" s="882"/>
      <c r="Q16" s="882"/>
    </row>
    <row r="17" spans="2:15" ht="21.2" customHeight="1" x14ac:dyDescent="0.25">
      <c r="B17" s="14" t="s">
        <v>6</v>
      </c>
      <c r="C17" s="38" t="s">
        <v>198</v>
      </c>
      <c r="D17" s="51">
        <v>1</v>
      </c>
      <c r="E17" s="51">
        <v>6000</v>
      </c>
      <c r="F17" s="98"/>
      <c r="G17" s="33" t="s">
        <v>49</v>
      </c>
      <c r="H17" s="20" t="s">
        <v>0</v>
      </c>
      <c r="I17" s="220">
        <f>D17*E17</f>
        <v>6000</v>
      </c>
      <c r="K17" s="11" t="s">
        <v>31</v>
      </c>
    </row>
    <row r="18" spans="2:15" ht="21.2" customHeight="1" x14ac:dyDescent="0.25">
      <c r="B18" s="5"/>
      <c r="C18" s="6"/>
      <c r="D18" s="16" t="s">
        <v>37</v>
      </c>
      <c r="E18" s="17" t="s">
        <v>38</v>
      </c>
      <c r="F18" s="16" t="s">
        <v>39</v>
      </c>
      <c r="G18" s="69" t="s">
        <v>125</v>
      </c>
      <c r="H18" s="18" t="s">
        <v>0</v>
      </c>
      <c r="I18" s="221"/>
      <c r="K18" s="11" t="s">
        <v>32</v>
      </c>
    </row>
    <row r="19" spans="2:15" ht="21.2" customHeight="1" x14ac:dyDescent="0.25">
      <c r="B19" s="5" t="s">
        <v>18</v>
      </c>
      <c r="C19" s="173" t="s">
        <v>310</v>
      </c>
      <c r="D19" s="44">
        <v>1.5</v>
      </c>
      <c r="E19" s="35">
        <v>1</v>
      </c>
      <c r="F19" s="36">
        <v>180</v>
      </c>
      <c r="G19" s="102">
        <f t="shared" ref="G19:G27" si="0">D19*F19/100</f>
        <v>2.7</v>
      </c>
      <c r="H19" s="18" t="s">
        <v>0</v>
      </c>
      <c r="I19" s="220">
        <f t="shared" ref="I19:I27" si="1">D19*E19*F19</f>
        <v>270</v>
      </c>
    </row>
    <row r="20" spans="2:15" ht="21.2" customHeight="1" x14ac:dyDescent="0.25">
      <c r="B20" s="5" t="s">
        <v>19</v>
      </c>
      <c r="C20" s="173" t="s">
        <v>308</v>
      </c>
      <c r="D20" s="44">
        <v>1</v>
      </c>
      <c r="E20" s="35">
        <v>0.3</v>
      </c>
      <c r="F20" s="173">
        <f>C9</f>
        <v>485.16666666666674</v>
      </c>
      <c r="G20" s="102">
        <f t="shared" si="0"/>
        <v>4.8516666666666675</v>
      </c>
      <c r="H20" s="18" t="s">
        <v>0</v>
      </c>
      <c r="I20" s="220">
        <f t="shared" si="1"/>
        <v>145.55000000000001</v>
      </c>
      <c r="K20" s="11" t="s">
        <v>165</v>
      </c>
      <c r="L20" s="11"/>
    </row>
    <row r="21" spans="2:15" ht="21.2" customHeight="1" x14ac:dyDescent="0.25">
      <c r="B21" s="5" t="s">
        <v>20</v>
      </c>
      <c r="C21" s="173" t="s">
        <v>309</v>
      </c>
      <c r="D21" s="44">
        <v>3</v>
      </c>
      <c r="E21" s="35">
        <v>0.3</v>
      </c>
      <c r="F21" s="173">
        <f>C8</f>
        <v>549</v>
      </c>
      <c r="G21" s="103">
        <f t="shared" si="0"/>
        <v>16.47</v>
      </c>
      <c r="H21" s="18" t="s">
        <v>0</v>
      </c>
      <c r="I21" s="220">
        <f t="shared" si="1"/>
        <v>494.09999999999997</v>
      </c>
      <c r="K21" s="11" t="s">
        <v>60</v>
      </c>
      <c r="L21" s="11"/>
    </row>
    <row r="22" spans="2:15" ht="21.2" customHeight="1" x14ac:dyDescent="0.25">
      <c r="B22" s="5" t="s">
        <v>21</v>
      </c>
      <c r="C22" s="173" t="s">
        <v>50</v>
      </c>
      <c r="D22" s="44">
        <v>1</v>
      </c>
      <c r="E22" s="35">
        <v>0.18</v>
      </c>
      <c r="F22" s="173">
        <f>C9</f>
        <v>485.16666666666674</v>
      </c>
      <c r="G22" s="102">
        <f t="shared" si="0"/>
        <v>4.8516666666666675</v>
      </c>
      <c r="H22" s="18" t="s">
        <v>0</v>
      </c>
      <c r="I22" s="220">
        <f t="shared" si="1"/>
        <v>87.330000000000013</v>
      </c>
      <c r="K22" s="11"/>
      <c r="L22" s="11"/>
    </row>
    <row r="23" spans="2:15" ht="21.2" customHeight="1" x14ac:dyDescent="0.25">
      <c r="B23" s="5" t="s">
        <v>22</v>
      </c>
      <c r="C23" s="173" t="s">
        <v>61</v>
      </c>
      <c r="D23" s="44">
        <v>6</v>
      </c>
      <c r="E23" s="35">
        <v>0.18</v>
      </c>
      <c r="F23" s="173">
        <f>C8</f>
        <v>549</v>
      </c>
      <c r="G23" s="102">
        <f t="shared" si="0"/>
        <v>32.94</v>
      </c>
      <c r="H23" s="18" t="s">
        <v>0</v>
      </c>
      <c r="I23" s="220">
        <f t="shared" si="1"/>
        <v>592.92000000000007</v>
      </c>
      <c r="K23" s="11"/>
      <c r="L23" s="11"/>
    </row>
    <row r="24" spans="2:15" ht="21.2" customHeight="1" x14ac:dyDescent="0.25">
      <c r="B24" s="5" t="s">
        <v>35</v>
      </c>
      <c r="C24" s="173" t="s">
        <v>294</v>
      </c>
      <c r="D24" s="44">
        <v>30</v>
      </c>
      <c r="E24" s="35">
        <v>0.04</v>
      </c>
      <c r="F24" s="173">
        <f>C9</f>
        <v>485.16666666666674</v>
      </c>
      <c r="G24" s="102">
        <f t="shared" si="0"/>
        <v>145.55000000000001</v>
      </c>
      <c r="H24" s="18" t="s">
        <v>0</v>
      </c>
      <c r="I24" s="220">
        <f t="shared" si="1"/>
        <v>582.20000000000005</v>
      </c>
      <c r="K24" s="11"/>
      <c r="L24" s="11"/>
      <c r="N24" s="11"/>
    </row>
    <row r="25" spans="2:15" ht="21.2" customHeight="1" x14ac:dyDescent="0.25">
      <c r="B25" s="451" t="s">
        <v>293</v>
      </c>
      <c r="C25" s="580" t="s">
        <v>41</v>
      </c>
      <c r="D25" s="453">
        <v>0.08</v>
      </c>
      <c r="E25" s="454">
        <v>1.5</v>
      </c>
      <c r="F25" s="580">
        <f>C6</f>
        <v>1034.1666666666667</v>
      </c>
      <c r="G25" s="552">
        <f>D25*F25/100</f>
        <v>0.82733333333333337</v>
      </c>
      <c r="H25" s="457" t="s">
        <v>0</v>
      </c>
      <c r="I25" s="458">
        <f>D25*E25*F25</f>
        <v>124.10000000000001</v>
      </c>
      <c r="K25" s="11"/>
      <c r="L25" s="2" t="s">
        <v>228</v>
      </c>
      <c r="M25" s="276"/>
      <c r="N25" s="628">
        <f>SUM(I19:I25)</f>
        <v>2296.2000000000003</v>
      </c>
      <c r="O25" s="623">
        <f>SUM(J20:J25)</f>
        <v>0</v>
      </c>
    </row>
    <row r="26" spans="2:15" ht="21.2" customHeight="1" x14ac:dyDescent="0.25">
      <c r="B26" s="14" t="s">
        <v>11</v>
      </c>
      <c r="C26" s="205" t="s">
        <v>201</v>
      </c>
      <c r="D26" s="99">
        <v>3</v>
      </c>
      <c r="E26" s="100">
        <v>0.1</v>
      </c>
      <c r="F26" s="205">
        <f>C9</f>
        <v>485.16666666666674</v>
      </c>
      <c r="G26" s="551">
        <f t="shared" si="0"/>
        <v>14.555000000000001</v>
      </c>
      <c r="H26" s="19" t="s">
        <v>0</v>
      </c>
      <c r="I26" s="218">
        <f t="shared" si="1"/>
        <v>145.55000000000004</v>
      </c>
      <c r="N26" s="626"/>
      <c r="O26" s="624"/>
    </row>
    <row r="27" spans="2:15" ht="21.2" customHeight="1" x14ac:dyDescent="0.25">
      <c r="B27" s="5" t="s">
        <v>11</v>
      </c>
      <c r="C27" s="173" t="s">
        <v>202</v>
      </c>
      <c r="D27" s="99">
        <v>6</v>
      </c>
      <c r="E27" s="35">
        <v>0.1</v>
      </c>
      <c r="F27" s="173">
        <f>C8</f>
        <v>549</v>
      </c>
      <c r="G27" s="102">
        <f t="shared" si="0"/>
        <v>32.94</v>
      </c>
      <c r="H27" s="19" t="s">
        <v>0</v>
      </c>
      <c r="I27" s="220">
        <f t="shared" si="1"/>
        <v>329.40000000000003</v>
      </c>
      <c r="K27" s="11"/>
      <c r="L27" s="2" t="s">
        <v>315</v>
      </c>
      <c r="N27" s="626">
        <f>SUM(I26:I27)</f>
        <v>474.95000000000005</v>
      </c>
      <c r="O27" s="626">
        <f>SUM(J26:J27)</f>
        <v>0</v>
      </c>
    </row>
    <row r="28" spans="2:15" ht="21.2" customHeight="1" x14ac:dyDescent="0.25">
      <c r="B28" s="14" t="s">
        <v>10</v>
      </c>
      <c r="C28" s="620" t="s">
        <v>27</v>
      </c>
      <c r="D28" s="38">
        <v>40</v>
      </c>
      <c r="E28" s="40">
        <v>2</v>
      </c>
      <c r="F28" s="173">
        <f>C6</f>
        <v>1034.1666666666667</v>
      </c>
      <c r="G28" s="101">
        <f>D28*F28/1000</f>
        <v>41.366666666666674</v>
      </c>
      <c r="H28" s="20" t="s">
        <v>0</v>
      </c>
      <c r="I28" s="218">
        <f>D28*E28*F28/1000</f>
        <v>82.733333333333348</v>
      </c>
    </row>
    <row r="29" spans="2:15" ht="21.2" customHeight="1" x14ac:dyDescent="0.25">
      <c r="B29" s="5" t="s">
        <v>1</v>
      </c>
      <c r="C29" s="6"/>
      <c r="D29" s="105"/>
      <c r="E29" s="45"/>
      <c r="F29" s="47"/>
      <c r="G29" s="144"/>
      <c r="H29" s="145" t="s">
        <v>0</v>
      </c>
      <c r="I29" s="223"/>
    </row>
    <row r="30" spans="2:15" ht="21.2" customHeight="1" x14ac:dyDescent="0.25">
      <c r="B30" s="46"/>
      <c r="C30" s="47"/>
      <c r="D30" s="22" t="s">
        <v>23</v>
      </c>
      <c r="E30" s="22" t="s">
        <v>164</v>
      </c>
      <c r="F30" s="22" t="s">
        <v>24</v>
      </c>
      <c r="G30" s="48"/>
      <c r="H30" s="49"/>
      <c r="I30" s="223"/>
    </row>
    <row r="31" spans="2:15" ht="21.2" customHeight="1" x14ac:dyDescent="0.25">
      <c r="B31" s="5" t="s">
        <v>12</v>
      </c>
      <c r="C31" s="6" t="s">
        <v>16</v>
      </c>
      <c r="D31" s="36">
        <v>100</v>
      </c>
      <c r="E31" s="35">
        <v>0.3</v>
      </c>
      <c r="F31" s="65">
        <f>$C$5</f>
        <v>2.8333333333333335</v>
      </c>
      <c r="G31" s="29"/>
      <c r="H31" s="18" t="s">
        <v>0</v>
      </c>
      <c r="I31" s="220">
        <f t="shared" ref="I31:I42" si="2">D31*E31*F31</f>
        <v>85</v>
      </c>
    </row>
    <row r="32" spans="2:15" ht="21.2" customHeight="1" x14ac:dyDescent="0.25">
      <c r="B32" s="5" t="s">
        <v>8</v>
      </c>
      <c r="C32" s="6"/>
      <c r="D32" s="36">
        <v>1</v>
      </c>
      <c r="E32" s="39">
        <v>300</v>
      </c>
      <c r="F32" s="65">
        <f t="shared" ref="F32:F38" si="3">$C$5</f>
        <v>2.8333333333333335</v>
      </c>
      <c r="G32" s="29"/>
      <c r="H32" s="18" t="s">
        <v>0</v>
      </c>
      <c r="I32" s="220">
        <f t="shared" si="2"/>
        <v>850</v>
      </c>
    </row>
    <row r="33" spans="2:15" ht="21.2" customHeight="1" x14ac:dyDescent="0.25">
      <c r="B33" s="5" t="s">
        <v>7</v>
      </c>
      <c r="C33" s="28" t="s">
        <v>203</v>
      </c>
      <c r="D33" s="34">
        <v>4</v>
      </c>
      <c r="E33" s="39">
        <v>30</v>
      </c>
      <c r="F33" s="65">
        <f t="shared" si="3"/>
        <v>2.8333333333333335</v>
      </c>
      <c r="G33" s="29"/>
      <c r="H33" s="18" t="s">
        <v>0</v>
      </c>
      <c r="I33" s="220">
        <f t="shared" si="2"/>
        <v>340</v>
      </c>
    </row>
    <row r="34" spans="2:15" ht="21.2" customHeight="1" x14ac:dyDescent="0.25">
      <c r="B34" s="5" t="s">
        <v>15</v>
      </c>
      <c r="C34" s="28" t="s">
        <v>174</v>
      </c>
      <c r="D34" s="34">
        <v>5</v>
      </c>
      <c r="E34" s="39">
        <v>7</v>
      </c>
      <c r="F34" s="65">
        <f t="shared" si="3"/>
        <v>2.8333333333333335</v>
      </c>
      <c r="G34" s="29"/>
      <c r="H34" s="18" t="s">
        <v>0</v>
      </c>
      <c r="I34" s="220">
        <f t="shared" si="2"/>
        <v>99.166666666666671</v>
      </c>
    </row>
    <row r="35" spans="2:15" ht="21.2" customHeight="1" x14ac:dyDescent="0.25">
      <c r="B35" s="5" t="s">
        <v>9</v>
      </c>
      <c r="C35" s="28"/>
      <c r="D35" s="34">
        <v>1</v>
      </c>
      <c r="E35" s="39">
        <v>50</v>
      </c>
      <c r="F35" s="65">
        <f t="shared" si="3"/>
        <v>2.8333333333333335</v>
      </c>
      <c r="G35" s="29"/>
      <c r="H35" s="18" t="s">
        <v>0</v>
      </c>
      <c r="I35" s="220">
        <f t="shared" si="2"/>
        <v>141.66666666666669</v>
      </c>
    </row>
    <row r="36" spans="2:15" ht="21.2" customHeight="1" x14ac:dyDescent="0.25">
      <c r="B36" s="5" t="s">
        <v>163</v>
      </c>
      <c r="C36" s="28"/>
      <c r="D36" s="34"/>
      <c r="E36" s="39"/>
      <c r="F36" s="65">
        <f t="shared" si="3"/>
        <v>2.8333333333333335</v>
      </c>
      <c r="G36" s="29"/>
      <c r="H36" s="18" t="s">
        <v>0</v>
      </c>
      <c r="I36" s="220">
        <f t="shared" si="2"/>
        <v>0</v>
      </c>
    </row>
    <row r="37" spans="2:15" ht="21.2" customHeight="1" x14ac:dyDescent="0.25">
      <c r="B37" s="5" t="s">
        <v>68</v>
      </c>
      <c r="C37" s="28" t="s">
        <v>303</v>
      </c>
      <c r="D37" s="34">
        <v>1</v>
      </c>
      <c r="E37" s="39">
        <v>25</v>
      </c>
      <c r="F37" s="65">
        <f t="shared" si="3"/>
        <v>2.8333333333333335</v>
      </c>
      <c r="G37" s="29"/>
      <c r="H37" s="18" t="s">
        <v>0</v>
      </c>
      <c r="I37" s="220">
        <f t="shared" si="2"/>
        <v>70.833333333333343</v>
      </c>
      <c r="L37" s="2" t="s">
        <v>26</v>
      </c>
    </row>
    <row r="38" spans="2:15" ht="21.2" customHeight="1" x14ac:dyDescent="0.25">
      <c r="B38" s="5" t="s">
        <v>14</v>
      </c>
      <c r="C38" s="28"/>
      <c r="D38" s="34">
        <v>1</v>
      </c>
      <c r="E38" s="39">
        <v>5</v>
      </c>
      <c r="F38" s="65">
        <f t="shared" si="3"/>
        <v>2.8333333333333335</v>
      </c>
      <c r="G38" s="29"/>
      <c r="H38" s="18" t="s">
        <v>0</v>
      </c>
      <c r="I38" s="220">
        <f t="shared" si="2"/>
        <v>14.166666666666668</v>
      </c>
    </row>
    <row r="39" spans="2:15" ht="21.2" customHeight="1" x14ac:dyDescent="0.25">
      <c r="B39" s="5" t="s">
        <v>33</v>
      </c>
      <c r="C39" s="28" t="s">
        <v>205</v>
      </c>
      <c r="D39" s="34">
        <v>3</v>
      </c>
      <c r="E39" s="39">
        <v>400</v>
      </c>
      <c r="F39" s="229">
        <v>1</v>
      </c>
      <c r="G39" s="29"/>
      <c r="H39" s="18" t="s">
        <v>0</v>
      </c>
      <c r="I39" s="220">
        <f t="shared" si="2"/>
        <v>1200</v>
      </c>
    </row>
    <row r="40" spans="2:15" ht="21.2" customHeight="1" x14ac:dyDescent="0.25">
      <c r="B40" s="7" t="s">
        <v>2</v>
      </c>
      <c r="C40" s="30" t="s">
        <v>36</v>
      </c>
      <c r="D40" s="34">
        <v>1</v>
      </c>
      <c r="E40" s="39">
        <v>10</v>
      </c>
      <c r="F40" s="229">
        <f>F31</f>
        <v>2.8333333333333335</v>
      </c>
      <c r="G40" s="31"/>
      <c r="H40" s="18" t="s">
        <v>0</v>
      </c>
      <c r="I40" s="220">
        <f t="shared" si="2"/>
        <v>28.333333333333336</v>
      </c>
      <c r="K40" s="11"/>
    </row>
    <row r="41" spans="2:15" ht="21.2" customHeight="1" x14ac:dyDescent="0.25">
      <c r="B41" s="7" t="s">
        <v>2</v>
      </c>
      <c r="C41" s="30" t="s">
        <v>382</v>
      </c>
      <c r="D41" s="777"/>
      <c r="E41" s="778">
        <f>I10</f>
        <v>19097.895</v>
      </c>
      <c r="F41" s="229">
        <v>1</v>
      </c>
      <c r="G41" s="31"/>
      <c r="H41" s="18"/>
      <c r="I41" s="220">
        <f>D41*E41*F41</f>
        <v>0</v>
      </c>
      <c r="K41" s="11"/>
    </row>
    <row r="42" spans="2:15" ht="21.2" customHeight="1" x14ac:dyDescent="0.25">
      <c r="B42" s="193" t="s">
        <v>2</v>
      </c>
      <c r="C42" s="194" t="s">
        <v>204</v>
      </c>
      <c r="D42" s="34">
        <f>1/F42</f>
        <v>1</v>
      </c>
      <c r="E42" s="39">
        <v>150</v>
      </c>
      <c r="F42" s="229">
        <v>1</v>
      </c>
      <c r="G42" s="31"/>
      <c r="H42" s="18" t="s">
        <v>0</v>
      </c>
      <c r="I42" s="220">
        <f t="shared" si="2"/>
        <v>150</v>
      </c>
      <c r="K42" s="11"/>
    </row>
    <row r="43" spans="2:15" ht="21.2" customHeight="1" x14ac:dyDescent="0.25">
      <c r="B43" s="186" t="s">
        <v>170</v>
      </c>
      <c r="C43" s="192"/>
      <c r="D43" s="191">
        <v>0.04</v>
      </c>
      <c r="E43" s="190">
        <f>E17</f>
        <v>6000</v>
      </c>
      <c r="F43" s="189">
        <f>$F$31</f>
        <v>2.8333333333333335</v>
      </c>
      <c r="G43" s="31"/>
      <c r="H43" s="187" t="s">
        <v>0</v>
      </c>
      <c r="I43" s="224">
        <f>E43*D43*F43</f>
        <v>680</v>
      </c>
      <c r="K43" s="11"/>
    </row>
    <row r="44" spans="2:15" ht="24.75" customHeight="1" thickBot="1" x14ac:dyDescent="0.35">
      <c r="B44" s="885" t="s">
        <v>62</v>
      </c>
      <c r="C44" s="886"/>
      <c r="D44" s="886"/>
      <c r="E44" s="886"/>
      <c r="F44" s="886"/>
      <c r="G44" s="887"/>
      <c r="H44" s="21" t="s">
        <v>0</v>
      </c>
      <c r="I44" s="104">
        <f>SUM(I17:I43)</f>
        <v>12513.05</v>
      </c>
      <c r="K44" s="11"/>
    </row>
    <row r="45" spans="2:15" ht="28.5" customHeight="1" thickTop="1" thickBot="1" x14ac:dyDescent="0.4">
      <c r="B45" s="73" t="s">
        <v>127</v>
      </c>
      <c r="C45" s="74"/>
      <c r="D45" s="70"/>
      <c r="E45" s="70"/>
      <c r="F45" s="70"/>
      <c r="G45" s="70"/>
      <c r="H45" s="71" t="s">
        <v>0</v>
      </c>
      <c r="I45" s="416">
        <f>I15-I44</f>
        <v>5712.7950000000019</v>
      </c>
      <c r="J45" s="13"/>
      <c r="K45" s="225"/>
      <c r="L45" s="226"/>
    </row>
    <row r="46" spans="2:15" ht="23.25" customHeight="1" x14ac:dyDescent="0.25">
      <c r="B46" s="888" t="s">
        <v>56</v>
      </c>
      <c r="C46" s="889"/>
      <c r="D46" s="82">
        <v>50</v>
      </c>
      <c r="E46" s="76" t="s">
        <v>229</v>
      </c>
      <c r="F46" s="96">
        <v>18</v>
      </c>
      <c r="G46" s="93" t="s">
        <v>48</v>
      </c>
      <c r="H46" s="77" t="s">
        <v>0</v>
      </c>
      <c r="I46" s="415">
        <f>D46*$C$5*F46</f>
        <v>2550.0000000000005</v>
      </c>
      <c r="J46" s="13"/>
      <c r="K46" s="225"/>
      <c r="L46" s="546" t="s">
        <v>279</v>
      </c>
      <c r="M46" s="857" t="s">
        <v>280</v>
      </c>
      <c r="N46" s="857"/>
      <c r="O46" s="547" t="s">
        <v>281</v>
      </c>
    </row>
    <row r="47" spans="2:15" ht="23.25" customHeight="1" x14ac:dyDescent="0.25">
      <c r="B47" s="890" t="s">
        <v>52</v>
      </c>
      <c r="C47" s="891"/>
      <c r="D47" s="488">
        <v>4000</v>
      </c>
      <c r="E47" s="79" t="s">
        <v>258</v>
      </c>
      <c r="F47" s="549">
        <f>SUM(L47:O47)*100</f>
        <v>6.0000000000000009</v>
      </c>
      <c r="G47" s="94" t="s">
        <v>254</v>
      </c>
      <c r="H47" s="80" t="s">
        <v>0</v>
      </c>
      <c r="I47" s="81">
        <f>D47*$C$5*F47/100</f>
        <v>680.00000000000011</v>
      </c>
      <c r="J47" s="13"/>
      <c r="K47" s="225" t="s">
        <v>318</v>
      </c>
      <c r="L47" s="577">
        <v>0.03</v>
      </c>
      <c r="M47" s="925">
        <v>0.02</v>
      </c>
      <c r="N47" s="926"/>
      <c r="O47" s="577">
        <v>0.01</v>
      </c>
    </row>
    <row r="48" spans="2:15" ht="23.25" customHeight="1" x14ac:dyDescent="0.25">
      <c r="B48" s="890" t="s">
        <v>53</v>
      </c>
      <c r="C48" s="891"/>
      <c r="D48" s="488"/>
      <c r="E48" s="79" t="s">
        <v>258</v>
      </c>
      <c r="F48" s="549">
        <f>SUM(L48:O48)*100</f>
        <v>6.5</v>
      </c>
      <c r="G48" s="94" t="s">
        <v>254</v>
      </c>
      <c r="H48" s="80" t="s">
        <v>0</v>
      </c>
      <c r="I48" s="81">
        <f>D48*$C$5*F48/100</f>
        <v>0</v>
      </c>
      <c r="J48" s="13"/>
      <c r="K48" s="225" t="s">
        <v>319</v>
      </c>
      <c r="L48" s="577">
        <v>2.5000000000000001E-2</v>
      </c>
      <c r="M48" s="925">
        <v>0.02</v>
      </c>
      <c r="N48" s="926"/>
      <c r="O48" s="577">
        <v>0.02</v>
      </c>
    </row>
    <row r="49" spans="2:19" ht="23.25" customHeight="1" x14ac:dyDescent="0.25">
      <c r="B49" s="890" t="s">
        <v>135</v>
      </c>
      <c r="C49" s="891"/>
      <c r="D49" s="488">
        <v>500</v>
      </c>
      <c r="E49" s="79" t="s">
        <v>258</v>
      </c>
      <c r="F49" s="549">
        <f>SUM(L49:O49)*100</f>
        <v>10</v>
      </c>
      <c r="G49" s="94" t="s">
        <v>254</v>
      </c>
      <c r="H49" s="80" t="s">
        <v>0</v>
      </c>
      <c r="I49" s="81">
        <f>D49*$C$5*F49/100</f>
        <v>141.66666666666669</v>
      </c>
      <c r="J49" s="13"/>
      <c r="K49" s="225" t="s">
        <v>320</v>
      </c>
      <c r="L49" s="577">
        <v>0.08</v>
      </c>
      <c r="M49" s="925">
        <v>0.02</v>
      </c>
      <c r="N49" s="926"/>
      <c r="O49" s="578"/>
    </row>
    <row r="50" spans="2:19" ht="23.25" customHeight="1" x14ac:dyDescent="0.25">
      <c r="B50" s="890" t="s">
        <v>54</v>
      </c>
      <c r="C50" s="891"/>
      <c r="D50" s="83">
        <v>0.6</v>
      </c>
      <c r="E50" s="79" t="s">
        <v>230</v>
      </c>
      <c r="F50" s="97">
        <v>200</v>
      </c>
      <c r="G50" s="94" t="s">
        <v>34</v>
      </c>
      <c r="H50" s="80" t="s">
        <v>0</v>
      </c>
      <c r="I50" s="81">
        <f>D50*$C$5*F50</f>
        <v>340</v>
      </c>
      <c r="J50" s="13"/>
      <c r="K50" s="225"/>
      <c r="L50" s="226"/>
    </row>
    <row r="51" spans="2:19" ht="23.25" customHeight="1" x14ac:dyDescent="0.25">
      <c r="B51" s="898" t="s">
        <v>137</v>
      </c>
      <c r="C51" s="899"/>
      <c r="D51" s="488">
        <v>20000</v>
      </c>
      <c r="E51" s="79" t="s">
        <v>256</v>
      </c>
      <c r="F51" s="92">
        <v>200</v>
      </c>
      <c r="G51" s="95" t="s">
        <v>231</v>
      </c>
      <c r="H51" s="19" t="s">
        <v>0</v>
      </c>
      <c r="I51" s="81">
        <f>F51*C5</f>
        <v>566.66666666666674</v>
      </c>
      <c r="J51" s="13"/>
      <c r="K51" s="225"/>
      <c r="L51" s="226"/>
    </row>
    <row r="52" spans="2:19" ht="23.25" customHeight="1" thickBot="1" x14ac:dyDescent="0.35">
      <c r="B52" s="892" t="s">
        <v>65</v>
      </c>
      <c r="C52" s="893"/>
      <c r="D52" s="893"/>
      <c r="E52" s="893"/>
      <c r="F52" s="893"/>
      <c r="G52" s="894"/>
      <c r="H52" s="770" t="s">
        <v>0</v>
      </c>
      <c r="I52" s="771">
        <f>SUM(I46:I51)</f>
        <v>4278.3333333333339</v>
      </c>
      <c r="J52" s="13"/>
      <c r="K52" s="225"/>
      <c r="L52" s="226"/>
    </row>
    <row r="53" spans="2:19" ht="23.25" customHeight="1" thickBot="1" x14ac:dyDescent="0.35">
      <c r="B53" s="764" t="s">
        <v>379</v>
      </c>
      <c r="C53" s="765"/>
      <c r="D53" s="765"/>
      <c r="E53" s="765"/>
      <c r="F53" s="765"/>
      <c r="G53" s="766"/>
      <c r="H53" s="767"/>
      <c r="I53" s="768">
        <f>I44+I52</f>
        <v>16791.383333333331</v>
      </c>
      <c r="J53" s="13"/>
      <c r="K53" s="225"/>
      <c r="L53" s="226"/>
    </row>
    <row r="54" spans="2:19" ht="25.5" customHeight="1" thickTop="1" x14ac:dyDescent="0.35">
      <c r="B54" s="761" t="s">
        <v>378</v>
      </c>
      <c r="C54" s="232"/>
      <c r="D54" s="232"/>
      <c r="E54" s="232"/>
      <c r="F54" s="232"/>
      <c r="G54" s="233"/>
      <c r="H54" s="240" t="s">
        <v>0</v>
      </c>
      <c r="I54" s="241">
        <f>I15-I53</f>
        <v>1434.4616666666698</v>
      </c>
      <c r="J54" s="13"/>
      <c r="K54" s="1028" t="s">
        <v>213</v>
      </c>
      <c r="L54" s="1029"/>
      <c r="M54" s="1029"/>
      <c r="N54" s="1029"/>
      <c r="O54" s="1029"/>
      <c r="P54" s="1029"/>
      <c r="Q54" s="1029"/>
      <c r="R54" s="1029"/>
      <c r="S54" s="1029"/>
    </row>
    <row r="55" spans="2:19" ht="25.5" customHeight="1" x14ac:dyDescent="0.35">
      <c r="B55" s="242" t="s">
        <v>191</v>
      </c>
      <c r="C55" s="243"/>
      <c r="D55" s="243"/>
      <c r="E55" s="243"/>
      <c r="F55" s="243"/>
      <c r="G55" s="244" t="s">
        <v>206</v>
      </c>
      <c r="H55" s="237" t="s">
        <v>0</v>
      </c>
      <c r="I55" s="238">
        <f>I54+I46</f>
        <v>3984.4616666666702</v>
      </c>
      <c r="J55" s="13"/>
      <c r="K55" s="1029"/>
      <c r="L55" s="1029"/>
      <c r="M55" s="1029"/>
      <c r="N55" s="1029"/>
      <c r="O55" s="1029"/>
      <c r="P55" s="1029"/>
      <c r="Q55" s="1029"/>
      <c r="R55" s="1029"/>
      <c r="S55" s="1029"/>
    </row>
    <row r="56" spans="2:19" ht="25.5" customHeight="1" x14ac:dyDescent="0.35">
      <c r="B56" s="245"/>
      <c r="C56" s="246"/>
      <c r="D56" s="246"/>
      <c r="E56" s="246"/>
      <c r="F56" s="246"/>
      <c r="G56" s="246" t="s">
        <v>192</v>
      </c>
      <c r="H56" s="247" t="s">
        <v>0</v>
      </c>
      <c r="I56" s="248">
        <f>IF(D46=0,0,I55/C5/D46)</f>
        <v>28.125611764705905</v>
      </c>
      <c r="J56" s="13"/>
      <c r="K56" s="1029"/>
      <c r="L56" s="1029"/>
      <c r="M56" s="1029"/>
      <c r="N56" s="1029"/>
      <c r="O56" s="1029"/>
      <c r="P56" s="1029"/>
      <c r="Q56" s="1029"/>
      <c r="R56" s="1029"/>
      <c r="S56" s="1029"/>
    </row>
    <row r="57" spans="2:19" ht="45.75" customHeight="1" thickBot="1" x14ac:dyDescent="0.4">
      <c r="B57" s="880" t="s">
        <v>71</v>
      </c>
      <c r="C57" s="881"/>
      <c r="D57" s="881"/>
      <c r="E57" s="91" t="s">
        <v>49</v>
      </c>
      <c r="F57" s="776">
        <f>(I53-E12*D12)/D10</f>
        <v>17663.433333333331</v>
      </c>
      <c r="G57" s="89" t="s">
        <v>43</v>
      </c>
      <c r="H57" s="90" t="s">
        <v>0</v>
      </c>
      <c r="I57" s="227">
        <f>F57*M10</f>
        <v>21019.485666666664</v>
      </c>
      <c r="J57" s="13"/>
      <c r="K57" s="225"/>
      <c r="L57" s="226"/>
      <c r="N57" s="225"/>
    </row>
    <row r="58" spans="2:19" ht="39.200000000000003" customHeight="1" x14ac:dyDescent="0.25">
      <c r="B58" s="3"/>
      <c r="C58" s="3"/>
      <c r="D58" s="3"/>
      <c r="E58" s="3"/>
      <c r="F58" s="3"/>
      <c r="G58" s="12"/>
      <c r="H58" s="3"/>
      <c r="I58" s="177"/>
      <c r="J58" s="13"/>
    </row>
    <row r="60" spans="2:19" x14ac:dyDescent="0.25">
      <c r="F60" s="11"/>
      <c r="G60" s="2"/>
    </row>
  </sheetData>
  <mergeCells count="26">
    <mergeCell ref="B57:D57"/>
    <mergeCell ref="B48:C48"/>
    <mergeCell ref="B49:C49"/>
    <mergeCell ref="B2:I2"/>
    <mergeCell ref="B3:C3"/>
    <mergeCell ref="D3:E3"/>
    <mergeCell ref="F4:I4"/>
    <mergeCell ref="H16:I16"/>
    <mergeCell ref="B44:G44"/>
    <mergeCell ref="F5:I8"/>
    <mergeCell ref="D7:D9"/>
    <mergeCell ref="E7:E9"/>
    <mergeCell ref="B50:C50"/>
    <mergeCell ref="B51:C51"/>
    <mergeCell ref="H9:I9"/>
    <mergeCell ref="B46:C46"/>
    <mergeCell ref="K3:N3"/>
    <mergeCell ref="K16:Q16"/>
    <mergeCell ref="B47:C47"/>
    <mergeCell ref="K54:S56"/>
    <mergeCell ref="F9:G9"/>
    <mergeCell ref="B52:G52"/>
    <mergeCell ref="M46:N46"/>
    <mergeCell ref="M47:N47"/>
    <mergeCell ref="M48:N48"/>
    <mergeCell ref="M49:N49"/>
  </mergeCells>
  <phoneticPr fontId="0" type="noConversion"/>
  <pageMargins left="0.51181102362204722" right="0.31496062992125984" top="0.39370078740157483" bottom="0.39370078740157483" header="0.31496062992125984" footer="0.31496062992125984"/>
  <pageSetup paperSize="9" scale="37" orientation="portrait" verticalDpi="1200" r:id="rId1"/>
  <headerFooter>
    <oddFooter>&amp;L&amp;F&amp;C&amp;A&amp;R&amp;D</oddFooter>
  </headerFooter>
  <rowBreaks count="1" manualBreakCount="1">
    <brk id="57" max="1638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57"/>
  <sheetViews>
    <sheetView showGridLines="0" showZeros="0" zoomScale="77" zoomScaleNormal="77" zoomScaleSheetLayoutView="75" workbookViewId="0">
      <selection activeCell="M6" sqref="M6"/>
    </sheetView>
  </sheetViews>
  <sheetFormatPr baseColWidth="10" defaultColWidth="11.28515625" defaultRowHeight="18" x14ac:dyDescent="0.25"/>
  <cols>
    <col min="1" max="1" width="1.85546875" style="2" customWidth="1"/>
    <col min="2" max="2" width="26" style="2" customWidth="1"/>
    <col min="3" max="3" width="23.7109375" style="2" customWidth="1"/>
    <col min="4" max="4" width="12.28515625" style="2" customWidth="1"/>
    <col min="5" max="5" width="20.85546875" style="2" customWidth="1"/>
    <col min="6" max="6" width="12.85546875" style="2" customWidth="1"/>
    <col min="7" max="7" width="24.140625" style="11" customWidth="1"/>
    <col min="8" max="8" width="5.28515625" style="2" customWidth="1"/>
    <col min="9" max="9" width="15.7109375" style="2" customWidth="1"/>
    <col min="10" max="10" width="4.85546875" style="2" customWidth="1"/>
    <col min="11" max="11" width="2.7109375" style="2" customWidth="1"/>
    <col min="12" max="12" width="13.28515625" style="2" customWidth="1"/>
    <col min="13" max="13" width="11.7109375" style="2" customWidth="1"/>
    <col min="14" max="14" width="11.28515625" style="2"/>
    <col min="15" max="15" width="3" style="2" customWidth="1"/>
    <col min="16" max="16" width="7.7109375" style="2" customWidth="1"/>
    <col min="17" max="17" width="7.140625" style="2" customWidth="1"/>
    <col min="18" max="18" width="3.7109375" style="2" customWidth="1"/>
    <col min="19" max="19" width="4.7109375" style="2" customWidth="1"/>
    <col min="20" max="16384" width="11.28515625" style="2"/>
  </cols>
  <sheetData>
    <row r="1" spans="2:19" ht="5.25" customHeight="1" thickBot="1" x14ac:dyDescent="0.3"/>
    <row r="2" spans="2:19" ht="36" customHeight="1" thickBot="1" x14ac:dyDescent="0.3">
      <c r="B2" s="866" t="s">
        <v>216</v>
      </c>
      <c r="C2" s="867"/>
      <c r="D2" s="867"/>
      <c r="E2" s="867"/>
      <c r="F2" s="867"/>
      <c r="G2" s="867"/>
      <c r="H2" s="867"/>
      <c r="I2" s="868"/>
    </row>
    <row r="3" spans="2:19" ht="42" customHeight="1" x14ac:dyDescent="0.25">
      <c r="B3" s="869" t="s">
        <v>59</v>
      </c>
      <c r="C3" s="870"/>
      <c r="D3" s="871" t="s">
        <v>178</v>
      </c>
      <c r="E3" s="872"/>
      <c r="F3" s="217" t="s">
        <v>177</v>
      </c>
      <c r="G3" s="234" t="s">
        <v>175</v>
      </c>
      <c r="H3" s="204"/>
      <c r="I3" s="235" t="s">
        <v>176</v>
      </c>
      <c r="J3" s="3"/>
      <c r="K3" s="1057" t="s">
        <v>188</v>
      </c>
      <c r="L3" s="1057"/>
      <c r="M3" s="1057"/>
      <c r="N3" s="1057"/>
    </row>
    <row r="4" spans="2:19" ht="22.7" customHeight="1" x14ac:dyDescent="0.25">
      <c r="B4" s="269" t="s">
        <v>215</v>
      </c>
      <c r="C4" s="264">
        <v>34</v>
      </c>
      <c r="D4" s="259"/>
      <c r="E4" s="260"/>
      <c r="F4" s="874" t="s">
        <v>4</v>
      </c>
      <c r="G4" s="874"/>
      <c r="H4" s="874"/>
      <c r="I4" s="875"/>
      <c r="L4" s="11"/>
      <c r="M4" s="11"/>
      <c r="N4" s="11"/>
      <c r="O4" s="11"/>
      <c r="P4" s="11"/>
      <c r="Q4" s="11"/>
    </row>
    <row r="5" spans="2:19" ht="22.15" customHeight="1" x14ac:dyDescent="0.25">
      <c r="B5" s="258" t="s">
        <v>217</v>
      </c>
      <c r="C5" s="265">
        <f>C4/12</f>
        <v>2.8333333333333335</v>
      </c>
      <c r="D5" s="261"/>
      <c r="E5" s="262"/>
      <c r="F5" s="1051" t="s">
        <v>234</v>
      </c>
      <c r="G5" s="1051"/>
      <c r="H5" s="1051"/>
      <c r="I5" s="1052"/>
      <c r="L5" s="11"/>
      <c r="M5" s="11"/>
      <c r="N5" s="11"/>
      <c r="O5" s="11"/>
      <c r="P5" s="11"/>
      <c r="Q5" s="11"/>
    </row>
    <row r="6" spans="2:19" ht="21.6" customHeight="1" x14ac:dyDescent="0.25">
      <c r="B6" s="258" t="s">
        <v>218</v>
      </c>
      <c r="C6" s="266">
        <f>C5*365</f>
        <v>1034.1666666666667</v>
      </c>
      <c r="D6" s="263"/>
      <c r="E6" s="250"/>
      <c r="F6" s="1053"/>
      <c r="G6" s="1053"/>
      <c r="H6" s="1053"/>
      <c r="I6" s="1054"/>
      <c r="L6" s="11"/>
      <c r="O6" s="11"/>
      <c r="P6" s="11"/>
      <c r="Q6" s="11"/>
    </row>
    <row r="7" spans="2:19" ht="21.6" customHeight="1" x14ac:dyDescent="0.25">
      <c r="B7" s="258" t="s">
        <v>227</v>
      </c>
      <c r="C7" s="267">
        <v>18</v>
      </c>
      <c r="D7" s="907" t="s">
        <v>23</v>
      </c>
      <c r="E7" s="864" t="s">
        <v>180</v>
      </c>
      <c r="F7" s="1055"/>
      <c r="G7" s="1053"/>
      <c r="H7" s="1053"/>
      <c r="I7" s="1054"/>
      <c r="L7" s="11"/>
      <c r="M7" s="11"/>
      <c r="N7" s="11"/>
      <c r="O7" s="11"/>
      <c r="P7" s="11"/>
      <c r="Q7" s="11"/>
    </row>
    <row r="8" spans="2:19" ht="19.899999999999999" customHeight="1" x14ac:dyDescent="0.25">
      <c r="B8" s="271" t="s">
        <v>220</v>
      </c>
      <c r="C8" s="272">
        <f>C7*30.5</f>
        <v>549</v>
      </c>
      <c r="D8" s="907"/>
      <c r="E8" s="864"/>
      <c r="F8" s="860"/>
      <c r="G8" s="861"/>
      <c r="H8" s="861"/>
      <c r="I8" s="862"/>
      <c r="N8" s="11"/>
      <c r="O8" s="11"/>
      <c r="P8" s="11"/>
      <c r="Q8" s="11"/>
    </row>
    <row r="9" spans="2:19" ht="24" customHeight="1" thickBot="1" x14ac:dyDescent="0.3">
      <c r="B9" s="268" t="s">
        <v>219</v>
      </c>
      <c r="C9" s="270">
        <f>C6-C8</f>
        <v>485.16666666666674</v>
      </c>
      <c r="D9" s="1056"/>
      <c r="E9" s="865"/>
      <c r="F9" s="1049" t="s">
        <v>214</v>
      </c>
      <c r="G9" s="1050"/>
      <c r="H9" s="858" t="s">
        <v>160</v>
      </c>
      <c r="I9" s="859"/>
      <c r="K9" s="63"/>
      <c r="L9" s="11"/>
      <c r="M9" s="11"/>
      <c r="N9" s="11"/>
      <c r="O9" s="11"/>
      <c r="P9" s="11"/>
      <c r="Q9" s="11"/>
    </row>
    <row r="10" spans="2:19" ht="21.2" customHeight="1" x14ac:dyDescent="0.25">
      <c r="B10" s="14" t="s">
        <v>3</v>
      </c>
      <c r="C10" s="32" t="s">
        <v>222</v>
      </c>
      <c r="D10" s="41">
        <v>1</v>
      </c>
      <c r="E10" s="426">
        <f>IF(F3&gt;0,F10/M13,F10/M14)</f>
        <v>8403.361344537816</v>
      </c>
      <c r="F10" s="425">
        <v>10000</v>
      </c>
      <c r="G10" s="198" t="s">
        <v>43</v>
      </c>
      <c r="H10" s="20" t="s">
        <v>0</v>
      </c>
      <c r="I10" s="218">
        <f>D10*E10</f>
        <v>8403.361344537816</v>
      </c>
      <c r="K10" s="60"/>
      <c r="L10" s="11"/>
      <c r="M10" s="11"/>
      <c r="N10" s="11"/>
      <c r="O10" s="11"/>
      <c r="P10" s="11"/>
      <c r="Q10" s="11"/>
    </row>
    <row r="11" spans="2:19" ht="21.2" customHeight="1" x14ac:dyDescent="0.25">
      <c r="B11" s="5" t="s">
        <v>5</v>
      </c>
      <c r="C11" s="419"/>
      <c r="D11" s="420"/>
      <c r="E11" s="421"/>
      <c r="F11" s="422"/>
      <c r="G11" s="418"/>
      <c r="H11" s="423" t="s">
        <v>0</v>
      </c>
      <c r="I11" s="424">
        <f>D11*E11</f>
        <v>0</v>
      </c>
      <c r="K11" s="11"/>
      <c r="L11" s="201" t="s">
        <v>185</v>
      </c>
      <c r="M11" s="202" t="s">
        <v>182</v>
      </c>
      <c r="N11" s="219"/>
      <c r="O11" s="201" t="s">
        <v>187</v>
      </c>
      <c r="P11" s="201"/>
      <c r="Q11" s="219"/>
    </row>
    <row r="12" spans="2:19" ht="21.2" customHeight="1" x14ac:dyDescent="0.25">
      <c r="B12" s="5" t="s">
        <v>5</v>
      </c>
      <c r="C12" s="28" t="s">
        <v>226</v>
      </c>
      <c r="D12" s="417">
        <v>0.05</v>
      </c>
      <c r="E12" s="426">
        <f>IF(F3&gt;0,E10,F10/(1+L14))</f>
        <v>8403.361344537816</v>
      </c>
      <c r="F12" s="197" t="s">
        <v>274</v>
      </c>
      <c r="G12" s="198"/>
      <c r="H12" s="18" t="s">
        <v>0</v>
      </c>
      <c r="I12" s="218">
        <f>D12*-E12</f>
        <v>-420.1680672268908</v>
      </c>
      <c r="K12" s="11"/>
      <c r="L12" s="84">
        <v>0.19</v>
      </c>
      <c r="M12" s="62">
        <f>1+L12</f>
        <v>1.19</v>
      </c>
      <c r="O12" s="11" t="s">
        <v>183</v>
      </c>
    </row>
    <row r="13" spans="2:19" ht="21.2" customHeight="1" x14ac:dyDescent="0.25">
      <c r="B13" s="5" t="s">
        <v>5</v>
      </c>
      <c r="C13" s="419"/>
      <c r="D13" s="420"/>
      <c r="E13" s="421"/>
      <c r="F13" s="422"/>
      <c r="G13" s="418"/>
      <c r="H13" s="423" t="s">
        <v>0</v>
      </c>
      <c r="I13" s="424">
        <f>D13*E13</f>
        <v>0</v>
      </c>
      <c r="K13" s="11"/>
      <c r="L13" s="84">
        <v>0.19</v>
      </c>
      <c r="M13" s="62">
        <f>1+L13</f>
        <v>1.19</v>
      </c>
      <c r="O13" s="66" t="s">
        <v>186</v>
      </c>
    </row>
    <row r="14" spans="2:19" ht="21.2" customHeight="1" x14ac:dyDescent="0.25">
      <c r="B14" s="5" t="s">
        <v>5</v>
      </c>
      <c r="C14" s="419"/>
      <c r="D14" s="420"/>
      <c r="E14" s="421"/>
      <c r="F14" s="422"/>
      <c r="G14" s="418"/>
      <c r="H14" s="423" t="s">
        <v>0</v>
      </c>
      <c r="I14" s="424">
        <f>D14*E14</f>
        <v>0</v>
      </c>
      <c r="L14" s="199">
        <v>0.107</v>
      </c>
      <c r="M14" s="200">
        <v>1</v>
      </c>
      <c r="O14" s="66" t="s">
        <v>181</v>
      </c>
      <c r="Q14" s="67"/>
      <c r="S14" s="67"/>
    </row>
    <row r="15" spans="2:19" ht="24.75" customHeight="1" thickBot="1" x14ac:dyDescent="0.35">
      <c r="B15" s="23" t="s">
        <v>57</v>
      </c>
      <c r="C15" s="24"/>
      <c r="D15" s="25"/>
      <c r="E15" s="25"/>
      <c r="F15" s="25"/>
      <c r="G15" s="26"/>
      <c r="H15" s="27" t="s">
        <v>0</v>
      </c>
      <c r="I15" s="59">
        <f>SUM(I10:I14)</f>
        <v>7983.1932773109256</v>
      </c>
      <c r="K15" s="11"/>
      <c r="L15" s="199">
        <v>7.0000000000000007E-2</v>
      </c>
      <c r="M15" s="200">
        <f>1+L15</f>
        <v>1.07</v>
      </c>
      <c r="O15" s="66" t="s">
        <v>184</v>
      </c>
    </row>
    <row r="16" spans="2:19" ht="39.75" customHeight="1" x14ac:dyDescent="0.25">
      <c r="B16" s="53" t="s">
        <v>162</v>
      </c>
      <c r="C16" s="54"/>
      <c r="D16" s="55" t="s">
        <v>126</v>
      </c>
      <c r="E16" s="55" t="s">
        <v>179</v>
      </c>
      <c r="F16" s="56"/>
      <c r="G16" s="57" t="s">
        <v>17</v>
      </c>
      <c r="H16" s="883" t="s">
        <v>161</v>
      </c>
      <c r="I16" s="884"/>
      <c r="K16" s="882"/>
      <c r="L16" s="882"/>
      <c r="M16" s="882"/>
      <c r="N16" s="882"/>
      <c r="O16" s="882"/>
      <c r="P16" s="882"/>
      <c r="Q16" s="882"/>
    </row>
    <row r="17" spans="2:14" ht="21.2" customHeight="1" x14ac:dyDescent="0.25">
      <c r="B17" s="14" t="s">
        <v>6</v>
      </c>
      <c r="C17" s="38" t="s">
        <v>198</v>
      </c>
      <c r="D17" s="51">
        <v>1</v>
      </c>
      <c r="E17" s="51">
        <v>3500</v>
      </c>
      <c r="F17" s="98"/>
      <c r="G17" s="33" t="s">
        <v>49</v>
      </c>
      <c r="H17" s="20" t="s">
        <v>0</v>
      </c>
      <c r="I17" s="220">
        <f>D17*E17</f>
        <v>3500</v>
      </c>
      <c r="K17" s="11" t="s">
        <v>31</v>
      </c>
    </row>
    <row r="18" spans="2:14" ht="21.2" customHeight="1" x14ac:dyDescent="0.25">
      <c r="B18" s="5"/>
      <c r="C18" s="6"/>
      <c r="D18" s="16" t="s">
        <v>37</v>
      </c>
      <c r="E18" s="17" t="s">
        <v>38</v>
      </c>
      <c r="F18" s="16" t="s">
        <v>39</v>
      </c>
      <c r="G18" s="69" t="s">
        <v>125</v>
      </c>
      <c r="H18" s="18" t="s">
        <v>0</v>
      </c>
      <c r="I18" s="221"/>
      <c r="K18" s="11" t="s">
        <v>32</v>
      </c>
    </row>
    <row r="19" spans="2:14" ht="21.2" customHeight="1" x14ac:dyDescent="0.25">
      <c r="B19" s="5" t="s">
        <v>18</v>
      </c>
      <c r="C19" s="28" t="s">
        <v>232</v>
      </c>
      <c r="D19" s="44">
        <v>1.5</v>
      </c>
      <c r="E19" s="35">
        <v>0.7</v>
      </c>
      <c r="F19" s="36">
        <v>180</v>
      </c>
      <c r="G19" s="102">
        <f t="shared" ref="G19:G26" si="0">D19*F19/100</f>
        <v>2.7</v>
      </c>
      <c r="H19" s="18" t="s">
        <v>0</v>
      </c>
      <c r="I19" s="220">
        <f t="shared" ref="I19:I26" si="1">D19*E19*F19</f>
        <v>188.99999999999997</v>
      </c>
    </row>
    <row r="20" spans="2:14" ht="21.2" customHeight="1" x14ac:dyDescent="0.25">
      <c r="B20" s="5" t="s">
        <v>19</v>
      </c>
      <c r="C20" s="28" t="s">
        <v>199</v>
      </c>
      <c r="D20" s="44">
        <v>0.5</v>
      </c>
      <c r="E20" s="35">
        <v>0.2</v>
      </c>
      <c r="F20" s="173">
        <f>C9</f>
        <v>485.16666666666674</v>
      </c>
      <c r="G20" s="102">
        <f t="shared" si="0"/>
        <v>2.4258333333333337</v>
      </c>
      <c r="H20" s="18" t="s">
        <v>0</v>
      </c>
      <c r="I20" s="220">
        <f t="shared" si="1"/>
        <v>48.51666666666668</v>
      </c>
      <c r="K20" s="11" t="s">
        <v>165</v>
      </c>
      <c r="L20" s="11"/>
    </row>
    <row r="21" spans="2:14" ht="21.2" customHeight="1" x14ac:dyDescent="0.25">
      <c r="B21" s="5" t="s">
        <v>20</v>
      </c>
      <c r="C21" s="28" t="s">
        <v>200</v>
      </c>
      <c r="D21" s="44">
        <v>3</v>
      </c>
      <c r="E21" s="35">
        <v>0.2</v>
      </c>
      <c r="F21" s="173">
        <f>C8</f>
        <v>549</v>
      </c>
      <c r="G21" s="103">
        <f t="shared" si="0"/>
        <v>16.47</v>
      </c>
      <c r="H21" s="18" t="s">
        <v>0</v>
      </c>
      <c r="I21" s="220">
        <f t="shared" si="1"/>
        <v>329.40000000000003</v>
      </c>
      <c r="K21" s="11" t="s">
        <v>60</v>
      </c>
      <c r="L21" s="11"/>
    </row>
    <row r="22" spans="2:14" ht="21.2" customHeight="1" x14ac:dyDescent="0.25">
      <c r="B22" s="5" t="s">
        <v>21</v>
      </c>
      <c r="C22" s="28" t="s">
        <v>50</v>
      </c>
      <c r="D22" s="44">
        <v>1</v>
      </c>
      <c r="E22" s="35">
        <v>0.15</v>
      </c>
      <c r="F22" s="173">
        <f>C9</f>
        <v>485.16666666666674</v>
      </c>
      <c r="G22" s="102">
        <f t="shared" si="0"/>
        <v>4.8516666666666675</v>
      </c>
      <c r="H22" s="18" t="s">
        <v>0</v>
      </c>
      <c r="I22" s="220">
        <f t="shared" si="1"/>
        <v>72.775000000000006</v>
      </c>
      <c r="K22" s="11"/>
      <c r="L22" s="11"/>
    </row>
    <row r="23" spans="2:14" ht="21.2" customHeight="1" x14ac:dyDescent="0.25">
      <c r="B23" s="5" t="s">
        <v>22</v>
      </c>
      <c r="C23" s="28" t="s">
        <v>61</v>
      </c>
      <c r="D23" s="44">
        <v>6</v>
      </c>
      <c r="E23" s="35">
        <v>0.15</v>
      </c>
      <c r="F23" s="173">
        <f>C8</f>
        <v>549</v>
      </c>
      <c r="G23" s="102">
        <f t="shared" si="0"/>
        <v>32.94</v>
      </c>
      <c r="H23" s="18" t="s">
        <v>0</v>
      </c>
      <c r="I23" s="220">
        <f t="shared" si="1"/>
        <v>494.09999999999997</v>
      </c>
      <c r="K23" s="11"/>
      <c r="L23" s="11"/>
    </row>
    <row r="24" spans="2:14" ht="21.2" customHeight="1" x14ac:dyDescent="0.25">
      <c r="B24" s="5" t="s">
        <v>35</v>
      </c>
      <c r="C24" s="28" t="s">
        <v>41</v>
      </c>
      <c r="D24" s="44">
        <v>7.4999999999999997E-2</v>
      </c>
      <c r="E24" s="35">
        <v>1.2</v>
      </c>
      <c r="F24" s="173">
        <f>C6</f>
        <v>1034.1666666666667</v>
      </c>
      <c r="G24" s="102">
        <f t="shared" si="0"/>
        <v>0.77562500000000001</v>
      </c>
      <c r="H24" s="18" t="s">
        <v>0</v>
      </c>
      <c r="I24" s="220">
        <f t="shared" si="1"/>
        <v>93.075000000000003</v>
      </c>
      <c r="K24" s="11" t="s">
        <v>228</v>
      </c>
      <c r="L24" s="11"/>
      <c r="N24" s="11"/>
    </row>
    <row r="25" spans="2:14" ht="21.2" customHeight="1" x14ac:dyDescent="0.25">
      <c r="B25" s="5" t="s">
        <v>11</v>
      </c>
      <c r="C25" s="28" t="s">
        <v>201</v>
      </c>
      <c r="D25" s="44">
        <v>3</v>
      </c>
      <c r="E25" s="35">
        <v>0.1</v>
      </c>
      <c r="F25" s="173">
        <f>C9</f>
        <v>485.16666666666674</v>
      </c>
      <c r="G25" s="102">
        <f t="shared" si="0"/>
        <v>14.555000000000001</v>
      </c>
      <c r="H25" s="19" t="s">
        <v>0</v>
      </c>
      <c r="I25" s="220">
        <f t="shared" si="1"/>
        <v>145.55000000000004</v>
      </c>
      <c r="L25" s="414">
        <f>SUM(I19:I24)</f>
        <v>1226.8666666666668</v>
      </c>
    </row>
    <row r="26" spans="2:14" ht="21.2" customHeight="1" x14ac:dyDescent="0.25">
      <c r="B26" s="5" t="s">
        <v>11</v>
      </c>
      <c r="C26" s="28" t="s">
        <v>202</v>
      </c>
      <c r="D26" s="99">
        <v>6</v>
      </c>
      <c r="E26" s="35">
        <v>0.1</v>
      </c>
      <c r="F26" s="173">
        <f>C8</f>
        <v>549</v>
      </c>
      <c r="G26" s="102">
        <f t="shared" si="0"/>
        <v>32.94</v>
      </c>
      <c r="H26" s="19" t="s">
        <v>0</v>
      </c>
      <c r="I26" s="220">
        <f t="shared" si="1"/>
        <v>329.40000000000003</v>
      </c>
      <c r="K26" s="11"/>
      <c r="L26" s="11"/>
    </row>
    <row r="27" spans="2:14" ht="21.2" customHeight="1" x14ac:dyDescent="0.25">
      <c r="B27" s="14" t="s">
        <v>10</v>
      </c>
      <c r="C27" s="37" t="s">
        <v>27</v>
      </c>
      <c r="D27" s="38">
        <v>30</v>
      </c>
      <c r="E27" s="40">
        <v>2</v>
      </c>
      <c r="F27" s="173">
        <f>C6</f>
        <v>1034.1666666666667</v>
      </c>
      <c r="G27" s="101">
        <f>D27*F27/1000</f>
        <v>31.025000000000002</v>
      </c>
      <c r="H27" s="20" t="s">
        <v>0</v>
      </c>
      <c r="I27" s="218">
        <f>D27*E27*F27/1000</f>
        <v>62.050000000000004</v>
      </c>
    </row>
    <row r="28" spans="2:14" ht="21.2" customHeight="1" x14ac:dyDescent="0.25">
      <c r="B28" s="5" t="s">
        <v>1</v>
      </c>
      <c r="C28" s="6"/>
      <c r="D28" s="105"/>
      <c r="E28" s="45"/>
      <c r="F28" s="47"/>
      <c r="G28" s="144"/>
      <c r="H28" s="145" t="s">
        <v>0</v>
      </c>
      <c r="I28" s="223"/>
    </row>
    <row r="29" spans="2:14" ht="21.2" customHeight="1" x14ac:dyDescent="0.25">
      <c r="B29" s="46"/>
      <c r="C29" s="47"/>
      <c r="D29" s="22" t="s">
        <v>23</v>
      </c>
      <c r="E29" s="22" t="s">
        <v>164</v>
      </c>
      <c r="F29" s="22" t="s">
        <v>24</v>
      </c>
      <c r="G29" s="48"/>
      <c r="H29" s="49"/>
      <c r="I29" s="223"/>
    </row>
    <row r="30" spans="2:14" ht="21.2" customHeight="1" x14ac:dyDescent="0.25">
      <c r="B30" s="5" t="s">
        <v>12</v>
      </c>
      <c r="C30" s="6" t="s">
        <v>16</v>
      </c>
      <c r="D30" s="36">
        <v>33</v>
      </c>
      <c r="E30" s="35">
        <v>0.2</v>
      </c>
      <c r="F30" s="65">
        <f>C4/12</f>
        <v>2.8333333333333335</v>
      </c>
      <c r="G30" s="29"/>
      <c r="H30" s="18" t="s">
        <v>0</v>
      </c>
      <c r="I30" s="220">
        <f t="shared" ref="I30:I40" si="2">D30*E30*F30</f>
        <v>18.700000000000003</v>
      </c>
    </row>
    <row r="31" spans="2:14" ht="21.2" customHeight="1" x14ac:dyDescent="0.25">
      <c r="B31" s="5" t="s">
        <v>8</v>
      </c>
      <c r="C31" s="6"/>
      <c r="D31" s="36">
        <v>1</v>
      </c>
      <c r="E31" s="39">
        <v>300</v>
      </c>
      <c r="F31" s="65">
        <f t="shared" ref="F31:F37" si="3">$F$30</f>
        <v>2.8333333333333335</v>
      </c>
      <c r="G31" s="29"/>
      <c r="H31" s="18" t="s">
        <v>0</v>
      </c>
      <c r="I31" s="220">
        <f t="shared" si="2"/>
        <v>850</v>
      </c>
    </row>
    <row r="32" spans="2:14" ht="21.2" customHeight="1" x14ac:dyDescent="0.25">
      <c r="B32" s="5" t="s">
        <v>7</v>
      </c>
      <c r="C32" s="28" t="s">
        <v>203</v>
      </c>
      <c r="D32" s="34">
        <v>4</v>
      </c>
      <c r="E32" s="39">
        <v>25</v>
      </c>
      <c r="F32" s="65">
        <f t="shared" si="3"/>
        <v>2.8333333333333335</v>
      </c>
      <c r="G32" s="29"/>
      <c r="H32" s="18" t="s">
        <v>0</v>
      </c>
      <c r="I32" s="220">
        <f t="shared" si="2"/>
        <v>283.33333333333337</v>
      </c>
    </row>
    <row r="33" spans="2:12" ht="21.2" customHeight="1" x14ac:dyDescent="0.25">
      <c r="B33" s="5" t="s">
        <v>15</v>
      </c>
      <c r="C33" s="28" t="s">
        <v>174</v>
      </c>
      <c r="D33" s="34">
        <v>5</v>
      </c>
      <c r="E33" s="39">
        <v>4.43</v>
      </c>
      <c r="F33" s="65">
        <f t="shared" si="3"/>
        <v>2.8333333333333335</v>
      </c>
      <c r="G33" s="29"/>
      <c r="H33" s="18" t="s">
        <v>0</v>
      </c>
      <c r="I33" s="220">
        <f t="shared" si="2"/>
        <v>62.758333333333333</v>
      </c>
    </row>
    <row r="34" spans="2:12" ht="21.2" customHeight="1" x14ac:dyDescent="0.25">
      <c r="B34" s="5" t="s">
        <v>9</v>
      </c>
      <c r="C34" s="28"/>
      <c r="D34" s="34">
        <v>1</v>
      </c>
      <c r="E34" s="39">
        <v>30</v>
      </c>
      <c r="F34" s="65">
        <f t="shared" si="3"/>
        <v>2.8333333333333335</v>
      </c>
      <c r="G34" s="29"/>
      <c r="H34" s="18" t="s">
        <v>0</v>
      </c>
      <c r="I34" s="220">
        <f t="shared" si="2"/>
        <v>85</v>
      </c>
    </row>
    <row r="35" spans="2:12" ht="21.2" customHeight="1" x14ac:dyDescent="0.25">
      <c r="B35" s="5" t="s">
        <v>163</v>
      </c>
      <c r="C35" s="28"/>
      <c r="D35" s="34"/>
      <c r="E35" s="39"/>
      <c r="F35" s="65">
        <f t="shared" si="3"/>
        <v>2.8333333333333335</v>
      </c>
      <c r="G35" s="29"/>
      <c r="H35" s="18" t="s">
        <v>0</v>
      </c>
      <c r="I35" s="220">
        <f t="shared" si="2"/>
        <v>0</v>
      </c>
    </row>
    <row r="36" spans="2:12" ht="21.2" customHeight="1" x14ac:dyDescent="0.25">
      <c r="B36" s="5" t="s">
        <v>68</v>
      </c>
      <c r="C36" s="28"/>
      <c r="D36" s="34">
        <v>1</v>
      </c>
      <c r="E36" s="39">
        <v>25</v>
      </c>
      <c r="F36" s="65">
        <f t="shared" si="3"/>
        <v>2.8333333333333335</v>
      </c>
      <c r="G36" s="29"/>
      <c r="H36" s="18" t="s">
        <v>0</v>
      </c>
      <c r="I36" s="220">
        <f t="shared" si="2"/>
        <v>70.833333333333343</v>
      </c>
      <c r="L36" s="2" t="s">
        <v>26</v>
      </c>
    </row>
    <row r="37" spans="2:12" ht="21.2" customHeight="1" x14ac:dyDescent="0.25">
      <c r="B37" s="5" t="s">
        <v>14</v>
      </c>
      <c r="C37" s="28"/>
      <c r="D37" s="34">
        <v>1</v>
      </c>
      <c r="E37" s="39">
        <v>5</v>
      </c>
      <c r="F37" s="65">
        <f t="shared" si="3"/>
        <v>2.8333333333333335</v>
      </c>
      <c r="G37" s="29"/>
      <c r="H37" s="18" t="s">
        <v>0</v>
      </c>
      <c r="I37" s="220">
        <f t="shared" si="2"/>
        <v>14.166666666666668</v>
      </c>
    </row>
    <row r="38" spans="2:12" ht="21.2" customHeight="1" x14ac:dyDescent="0.25">
      <c r="B38" s="5" t="s">
        <v>33</v>
      </c>
      <c r="C38" s="28" t="s">
        <v>205</v>
      </c>
      <c r="D38" s="34">
        <v>3</v>
      </c>
      <c r="E38" s="39">
        <v>300</v>
      </c>
      <c r="F38" s="65">
        <v>1</v>
      </c>
      <c r="G38" s="29"/>
      <c r="H38" s="18" t="s">
        <v>0</v>
      </c>
      <c r="I38" s="220">
        <f t="shared" si="2"/>
        <v>900</v>
      </c>
    </row>
    <row r="39" spans="2:12" ht="21.2" customHeight="1" x14ac:dyDescent="0.25">
      <c r="B39" s="7" t="s">
        <v>2</v>
      </c>
      <c r="C39" s="30" t="s">
        <v>223</v>
      </c>
      <c r="D39" s="34">
        <v>1</v>
      </c>
      <c r="E39" s="39">
        <v>1000</v>
      </c>
      <c r="F39" s="65">
        <f>F30</f>
        <v>2.8333333333333335</v>
      </c>
      <c r="G39" s="31"/>
      <c r="H39" s="18" t="s">
        <v>0</v>
      </c>
      <c r="I39" s="220">
        <f t="shared" si="2"/>
        <v>2833.3333333333335</v>
      </c>
      <c r="K39" s="11"/>
    </row>
    <row r="40" spans="2:12" ht="21.2" customHeight="1" x14ac:dyDescent="0.25">
      <c r="B40" s="193" t="s">
        <v>2</v>
      </c>
      <c r="C40" s="194" t="s">
        <v>204</v>
      </c>
      <c r="D40" s="34">
        <f>1/F40</f>
        <v>1</v>
      </c>
      <c r="E40" s="39">
        <v>120</v>
      </c>
      <c r="F40" s="65">
        <v>1</v>
      </c>
      <c r="G40" s="31"/>
      <c r="H40" s="18" t="s">
        <v>0</v>
      </c>
      <c r="I40" s="220">
        <f t="shared" si="2"/>
        <v>120</v>
      </c>
      <c r="K40" s="11"/>
    </row>
    <row r="41" spans="2:12" ht="21.2" customHeight="1" x14ac:dyDescent="0.25">
      <c r="B41" s="186" t="s">
        <v>170</v>
      </c>
      <c r="C41" s="192"/>
      <c r="D41" s="191">
        <v>0.04</v>
      </c>
      <c r="E41" s="190">
        <f>E17</f>
        <v>3500</v>
      </c>
      <c r="F41" s="189">
        <f>$F$30</f>
        <v>2.8333333333333335</v>
      </c>
      <c r="G41" s="31"/>
      <c r="H41" s="187" t="s">
        <v>0</v>
      </c>
      <c r="I41" s="224">
        <f>E41*D41*F41</f>
        <v>396.66666666666669</v>
      </c>
      <c r="K41" s="11"/>
    </row>
    <row r="42" spans="2:12" ht="24.75" customHeight="1" thickBot="1" x14ac:dyDescent="0.35">
      <c r="B42" s="885" t="s">
        <v>62</v>
      </c>
      <c r="C42" s="886"/>
      <c r="D42" s="886"/>
      <c r="E42" s="886"/>
      <c r="F42" s="886"/>
      <c r="G42" s="887"/>
      <c r="H42" s="21" t="s">
        <v>0</v>
      </c>
      <c r="I42" s="104">
        <f>SUM(I17:I41)</f>
        <v>10898.658333333333</v>
      </c>
      <c r="K42" s="11"/>
    </row>
    <row r="43" spans="2:12" ht="28.5" customHeight="1" thickTop="1" thickBot="1" x14ac:dyDescent="0.4">
      <c r="B43" s="73" t="s">
        <v>127</v>
      </c>
      <c r="C43" s="74"/>
      <c r="D43" s="70"/>
      <c r="E43" s="70"/>
      <c r="F43" s="70"/>
      <c r="G43" s="70"/>
      <c r="H43" s="71" t="s">
        <v>0</v>
      </c>
      <c r="I43" s="416">
        <f>I15-I42</f>
        <v>-2915.4650560224072</v>
      </c>
      <c r="J43" s="13"/>
      <c r="K43" s="225"/>
      <c r="L43" s="226"/>
    </row>
    <row r="44" spans="2:12" ht="23.25" customHeight="1" x14ac:dyDescent="0.25">
      <c r="B44" s="888" t="s">
        <v>56</v>
      </c>
      <c r="C44" s="889"/>
      <c r="D44" s="82">
        <v>50</v>
      </c>
      <c r="E44" s="76" t="s">
        <v>229</v>
      </c>
      <c r="F44" s="96">
        <v>14</v>
      </c>
      <c r="G44" s="93" t="s">
        <v>48</v>
      </c>
      <c r="H44" s="77" t="s">
        <v>0</v>
      </c>
      <c r="I44" s="415">
        <f>D44*$C$5*F44</f>
        <v>1983.3333333333335</v>
      </c>
      <c r="J44" s="13"/>
      <c r="K44" s="225"/>
      <c r="L44" s="226"/>
    </row>
    <row r="45" spans="2:12" ht="23.25" customHeight="1" x14ac:dyDescent="0.25">
      <c r="B45" s="890" t="s">
        <v>52</v>
      </c>
      <c r="C45" s="891"/>
      <c r="D45" s="488">
        <v>2000</v>
      </c>
      <c r="E45" s="79" t="s">
        <v>258</v>
      </c>
      <c r="F45" s="492">
        <v>7</v>
      </c>
      <c r="G45" s="94" t="s">
        <v>254</v>
      </c>
      <c r="H45" s="80" t="s">
        <v>0</v>
      </c>
      <c r="I45" s="81">
        <f>D45*$C$5*F45/100</f>
        <v>396.66666666666674</v>
      </c>
      <c r="J45" s="13"/>
      <c r="K45" s="225"/>
      <c r="L45" s="226"/>
    </row>
    <row r="46" spans="2:12" ht="23.25" customHeight="1" x14ac:dyDescent="0.25">
      <c r="B46" s="890" t="s">
        <v>53</v>
      </c>
      <c r="C46" s="891"/>
      <c r="D46" s="488"/>
      <c r="E46" s="79" t="s">
        <v>258</v>
      </c>
      <c r="F46" s="492">
        <v>8</v>
      </c>
      <c r="G46" s="94" t="s">
        <v>254</v>
      </c>
      <c r="H46" s="80" t="s">
        <v>0</v>
      </c>
      <c r="I46" s="81">
        <f>D46*$C$5*F46/100</f>
        <v>0</v>
      </c>
      <c r="J46" s="13"/>
      <c r="K46" s="225"/>
      <c r="L46" s="226"/>
    </row>
    <row r="47" spans="2:12" ht="23.25" customHeight="1" x14ac:dyDescent="0.25">
      <c r="B47" s="890" t="s">
        <v>135</v>
      </c>
      <c r="C47" s="891"/>
      <c r="D47" s="488">
        <v>500</v>
      </c>
      <c r="E47" s="79" t="s">
        <v>258</v>
      </c>
      <c r="F47" s="492">
        <v>12</v>
      </c>
      <c r="G47" s="94" t="s">
        <v>254</v>
      </c>
      <c r="H47" s="80" t="s">
        <v>0</v>
      </c>
      <c r="I47" s="81">
        <f>D47*$C$5*F47/100</f>
        <v>170</v>
      </c>
      <c r="J47" s="13"/>
      <c r="K47" s="225"/>
      <c r="L47" s="226"/>
    </row>
    <row r="48" spans="2:12" ht="23.25" customHeight="1" x14ac:dyDescent="0.25">
      <c r="B48" s="890" t="s">
        <v>54</v>
      </c>
      <c r="C48" s="891"/>
      <c r="D48" s="83">
        <v>0.4</v>
      </c>
      <c r="E48" s="79" t="s">
        <v>230</v>
      </c>
      <c r="F48" s="97">
        <v>200</v>
      </c>
      <c r="G48" s="94" t="s">
        <v>34</v>
      </c>
      <c r="H48" s="80" t="s">
        <v>0</v>
      </c>
      <c r="I48" s="81">
        <f>D48*$C$5*F48</f>
        <v>226.66666666666671</v>
      </c>
      <c r="J48" s="13"/>
      <c r="K48" s="225"/>
      <c r="L48" s="226"/>
    </row>
    <row r="49" spans="2:19" ht="23.25" customHeight="1" x14ac:dyDescent="0.25">
      <c r="B49" s="898" t="s">
        <v>137</v>
      </c>
      <c r="C49" s="899"/>
      <c r="D49" s="488">
        <v>15000</v>
      </c>
      <c r="E49" s="79" t="s">
        <v>256</v>
      </c>
      <c r="F49" s="92">
        <v>150</v>
      </c>
      <c r="G49" s="95" t="s">
        <v>231</v>
      </c>
      <c r="H49" s="19" t="s">
        <v>0</v>
      </c>
      <c r="I49" s="81">
        <f>F49</f>
        <v>150</v>
      </c>
      <c r="J49" s="13"/>
      <c r="K49" s="225"/>
      <c r="L49" s="226"/>
    </row>
    <row r="50" spans="2:19" ht="23.25" customHeight="1" thickBot="1" x14ac:dyDescent="0.35">
      <c r="B50" s="1059" t="s">
        <v>65</v>
      </c>
      <c r="C50" s="1060"/>
      <c r="D50" s="1060"/>
      <c r="E50" s="1060"/>
      <c r="F50" s="1060"/>
      <c r="G50" s="1061"/>
      <c r="H50" s="87" t="s">
        <v>0</v>
      </c>
      <c r="I50" s="88">
        <f>SUM(I44:I49)</f>
        <v>2926.6666666666665</v>
      </c>
      <c r="J50" s="13"/>
      <c r="K50" s="225"/>
      <c r="L50" s="226"/>
    </row>
    <row r="51" spans="2:19" ht="25.5" customHeight="1" thickTop="1" x14ac:dyDescent="0.35">
      <c r="B51" s="239" t="s">
        <v>70</v>
      </c>
      <c r="C51" s="232"/>
      <c r="D51" s="232"/>
      <c r="E51" s="232"/>
      <c r="F51" s="232"/>
      <c r="G51" s="233"/>
      <c r="H51" s="240" t="s">
        <v>0</v>
      </c>
      <c r="I51" s="241">
        <f>I43-I50</f>
        <v>-5842.1317226890733</v>
      </c>
      <c r="J51" s="13"/>
      <c r="K51" s="1028" t="s">
        <v>213</v>
      </c>
      <c r="L51" s="1029"/>
      <c r="M51" s="1029"/>
      <c r="N51" s="1029"/>
      <c r="O51" s="1029"/>
      <c r="P51" s="1029"/>
      <c r="Q51" s="1029"/>
      <c r="R51" s="1029"/>
      <c r="S51" s="1029"/>
    </row>
    <row r="52" spans="2:19" ht="25.5" customHeight="1" x14ac:dyDescent="0.35">
      <c r="B52" s="242" t="s">
        <v>191</v>
      </c>
      <c r="C52" s="243"/>
      <c r="D52" s="243"/>
      <c r="E52" s="243"/>
      <c r="F52" s="243"/>
      <c r="G52" s="244" t="s">
        <v>206</v>
      </c>
      <c r="H52" s="237" t="s">
        <v>0</v>
      </c>
      <c r="I52" s="238">
        <f>I51+I44</f>
        <v>-3858.7983893557398</v>
      </c>
      <c r="J52" s="13"/>
      <c r="K52" s="1029"/>
      <c r="L52" s="1029"/>
      <c r="M52" s="1029"/>
      <c r="N52" s="1029"/>
      <c r="O52" s="1029"/>
      <c r="P52" s="1029"/>
      <c r="Q52" s="1029"/>
      <c r="R52" s="1029"/>
      <c r="S52" s="1029"/>
    </row>
    <row r="53" spans="2:19" ht="25.5" customHeight="1" x14ac:dyDescent="0.35">
      <c r="B53" s="245"/>
      <c r="C53" s="246"/>
      <c r="D53" s="246"/>
      <c r="E53" s="246"/>
      <c r="F53" s="246"/>
      <c r="G53" s="246" t="s">
        <v>192</v>
      </c>
      <c r="H53" s="247" t="s">
        <v>0</v>
      </c>
      <c r="I53" s="248">
        <f>IF(D44=0,0,I52/C5/D44)</f>
        <v>-27.238576866040518</v>
      </c>
      <c r="J53" s="13"/>
      <c r="K53" s="1029"/>
      <c r="L53" s="1029"/>
      <c r="M53" s="1029"/>
      <c r="N53" s="1029"/>
      <c r="O53" s="1029"/>
      <c r="P53" s="1029"/>
      <c r="Q53" s="1029"/>
      <c r="R53" s="1029"/>
      <c r="S53" s="1029"/>
    </row>
    <row r="54" spans="2:19" ht="45.75" customHeight="1" thickBot="1" x14ac:dyDescent="0.4">
      <c r="B54" s="880" t="s">
        <v>71</v>
      </c>
      <c r="C54" s="881"/>
      <c r="D54" s="881"/>
      <c r="E54" s="91" t="s">
        <v>49</v>
      </c>
      <c r="F54" s="231">
        <f>(I42+I50)/(D10-D12)</f>
        <v>14552.973684210527</v>
      </c>
      <c r="G54" s="89" t="s">
        <v>43</v>
      </c>
      <c r="H54" s="90" t="s">
        <v>0</v>
      </c>
      <c r="I54" s="227">
        <f>F54*M12</f>
        <v>17318.038684210525</v>
      </c>
      <c r="J54" s="13"/>
      <c r="K54" s="225"/>
      <c r="L54" s="226"/>
    </row>
    <row r="55" spans="2:19" ht="39.200000000000003" customHeight="1" x14ac:dyDescent="0.25">
      <c r="B55" s="3"/>
      <c r="C55" s="3"/>
      <c r="D55" s="3"/>
      <c r="E55" s="3"/>
      <c r="F55" s="3"/>
      <c r="G55" s="12"/>
      <c r="H55" s="3"/>
      <c r="I55" s="177"/>
      <c r="J55" s="13"/>
    </row>
    <row r="57" spans="2:19" x14ac:dyDescent="0.25">
      <c r="F57" s="11"/>
      <c r="G57" s="2"/>
    </row>
  </sheetData>
  <mergeCells count="22">
    <mergeCell ref="F5:I8"/>
    <mergeCell ref="D7:D9"/>
    <mergeCell ref="E7:E9"/>
    <mergeCell ref="F9:G9"/>
    <mergeCell ref="H9:I9"/>
    <mergeCell ref="B2:I2"/>
    <mergeCell ref="B3:C3"/>
    <mergeCell ref="D3:E3"/>
    <mergeCell ref="K3:N3"/>
    <mergeCell ref="F4:I4"/>
    <mergeCell ref="B54:D54"/>
    <mergeCell ref="H16:I16"/>
    <mergeCell ref="K16:Q16"/>
    <mergeCell ref="B42:G42"/>
    <mergeCell ref="B44:C44"/>
    <mergeCell ref="B45:C45"/>
    <mergeCell ref="B46:C46"/>
    <mergeCell ref="B47:C47"/>
    <mergeCell ref="B48:C48"/>
    <mergeCell ref="B49:C49"/>
    <mergeCell ref="B50:G50"/>
    <mergeCell ref="K51:S53"/>
  </mergeCells>
  <pageMargins left="0.78740157480314965" right="0.39370078740157483" top="0.62992125984251968" bottom="0.51181102362204722" header="0.31496062992125984" footer="0.23622047244094491"/>
  <pageSetup paperSize="9" scale="64" orientation="portrait" blackAndWhite="1" horizontalDpi="1200" verticalDpi="1200" r:id="rId1"/>
  <headerFooter alignWithMargins="0">
    <oddHeader>&amp;C&amp;A</oddHeader>
    <oddFooter>&amp;LLEL Schwäbisch Gmünd, Dr. V. Segger&amp;C&amp;F&amp;R&amp;D</oddFooter>
  </headerFooter>
  <rowBreaks count="1" manualBreakCount="1">
    <brk id="54" max="16383"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A71"/>
  <sheetViews>
    <sheetView workbookViewId="0">
      <selection activeCell="J67" sqref="J67"/>
    </sheetView>
  </sheetViews>
  <sheetFormatPr baseColWidth="10" defaultRowHeight="12.75" x14ac:dyDescent="0.2"/>
  <cols>
    <col min="1" max="1" width="0.7109375" customWidth="1"/>
    <col min="2" max="2" width="1" customWidth="1"/>
    <col min="3" max="3" width="2.85546875" customWidth="1"/>
    <col min="4" max="4" width="49.28515625" customWidth="1"/>
    <col min="5" max="5" width="14.28515625" customWidth="1"/>
    <col min="6" max="6" width="15.28515625" customWidth="1"/>
    <col min="7" max="7" width="12.28515625" customWidth="1"/>
    <col min="8" max="8" width="15.28515625" customWidth="1"/>
  </cols>
  <sheetData>
    <row r="2" spans="3:9" ht="15.75" x14ac:dyDescent="0.25">
      <c r="C2" s="63" t="s">
        <v>73</v>
      </c>
      <c r="G2" s="737" t="s">
        <v>74</v>
      </c>
      <c r="H2" s="738">
        <v>44813</v>
      </c>
    </row>
    <row r="3" spans="3:9" ht="10.5" customHeight="1" x14ac:dyDescent="0.2"/>
    <row r="4" spans="3:9" ht="15" x14ac:dyDescent="0.25">
      <c r="C4" s="124" t="s">
        <v>75</v>
      </c>
      <c r="E4" s="123" t="s">
        <v>350</v>
      </c>
    </row>
    <row r="5" spans="3:9" ht="8.4499999999999993" customHeight="1" thickBot="1" x14ac:dyDescent="0.25"/>
    <row r="6" spans="3:9" ht="15.75" customHeight="1" x14ac:dyDescent="0.2">
      <c r="C6" s="108"/>
      <c r="D6" s="109"/>
      <c r="E6" s="1064" t="s">
        <v>76</v>
      </c>
      <c r="F6" s="1066"/>
      <c r="G6" s="1064" t="s">
        <v>77</v>
      </c>
      <c r="H6" s="1065"/>
    </row>
    <row r="7" spans="3:9" ht="29.25" customHeight="1" x14ac:dyDescent="0.2">
      <c r="C7" s="113"/>
      <c r="D7" s="117"/>
      <c r="E7" s="1067" t="s">
        <v>78</v>
      </c>
      <c r="F7" s="1068"/>
      <c r="G7" s="1067" t="s">
        <v>79</v>
      </c>
      <c r="H7" s="1069"/>
    </row>
    <row r="8" spans="3:9" ht="17.45" customHeight="1" thickBot="1" x14ac:dyDescent="0.25">
      <c r="C8" s="135" t="s">
        <v>80</v>
      </c>
      <c r="D8" s="136"/>
      <c r="E8" s="137" t="s">
        <v>81</v>
      </c>
      <c r="F8" s="125" t="s">
        <v>82</v>
      </c>
      <c r="G8" s="118" t="s">
        <v>81</v>
      </c>
      <c r="H8" s="138" t="s">
        <v>82</v>
      </c>
    </row>
    <row r="9" spans="3:9" ht="15.6" customHeight="1" x14ac:dyDescent="0.2">
      <c r="C9" s="113" t="s">
        <v>83</v>
      </c>
      <c r="D9" s="106"/>
      <c r="E9" s="132"/>
      <c r="F9" s="107"/>
      <c r="G9" s="129"/>
      <c r="H9" s="114"/>
    </row>
    <row r="10" spans="3:9" ht="16.5" x14ac:dyDescent="0.2">
      <c r="C10" s="113" t="s">
        <v>84</v>
      </c>
      <c r="D10" s="725" t="s">
        <v>342</v>
      </c>
      <c r="E10" s="726" t="s">
        <v>351</v>
      </c>
      <c r="F10" s="107" t="s">
        <v>85</v>
      </c>
      <c r="G10" s="128">
        <v>9.5000000000000001E-2</v>
      </c>
      <c r="H10" s="114" t="s">
        <v>86</v>
      </c>
      <c r="I10" t="s">
        <v>87</v>
      </c>
    </row>
    <row r="11" spans="3:9" x14ac:dyDescent="0.2">
      <c r="C11" s="113" t="s">
        <v>84</v>
      </c>
      <c r="D11" s="106" t="s">
        <v>88</v>
      </c>
      <c r="E11" s="133">
        <v>0.19</v>
      </c>
      <c r="F11" s="107" t="s">
        <v>85</v>
      </c>
      <c r="G11" s="128">
        <v>0.19</v>
      </c>
      <c r="H11" s="114" t="s">
        <v>85</v>
      </c>
      <c r="I11" t="s">
        <v>87</v>
      </c>
    </row>
    <row r="12" spans="3:9" ht="16.5" x14ac:dyDescent="0.2">
      <c r="C12" s="113" t="s">
        <v>84</v>
      </c>
      <c r="D12" s="725" t="s">
        <v>343</v>
      </c>
      <c r="E12" s="726" t="s">
        <v>351</v>
      </c>
      <c r="F12" s="107" t="s">
        <v>85</v>
      </c>
      <c r="G12" s="128">
        <v>9.5000000000000001E-2</v>
      </c>
      <c r="H12" s="114" t="s">
        <v>86</v>
      </c>
      <c r="I12" t="s">
        <v>87</v>
      </c>
    </row>
    <row r="13" spans="3:9" ht="16.5" x14ac:dyDescent="0.2">
      <c r="C13" s="113" t="s">
        <v>84</v>
      </c>
      <c r="D13" s="725" t="s">
        <v>344</v>
      </c>
      <c r="E13" s="726" t="s">
        <v>351</v>
      </c>
      <c r="F13" s="107" t="s">
        <v>85</v>
      </c>
      <c r="G13" s="128">
        <v>9.5000000000000001E-2</v>
      </c>
      <c r="H13" s="114" t="s">
        <v>86</v>
      </c>
      <c r="I13" t="s">
        <v>87</v>
      </c>
    </row>
    <row r="14" spans="3:9" x14ac:dyDescent="0.2">
      <c r="C14" s="113" t="s">
        <v>84</v>
      </c>
      <c r="D14" s="106" t="s">
        <v>89</v>
      </c>
      <c r="E14" s="133"/>
      <c r="F14" s="107"/>
      <c r="G14" s="128"/>
      <c r="H14" s="114"/>
    </row>
    <row r="15" spans="3:9" x14ac:dyDescent="0.2">
      <c r="C15" s="113"/>
      <c r="D15" s="106" t="s">
        <v>90</v>
      </c>
      <c r="E15" s="133">
        <v>7.0000000000000007E-2</v>
      </c>
      <c r="F15" s="107" t="s">
        <v>85</v>
      </c>
      <c r="G15" s="128">
        <v>9.5000000000000001E-2</v>
      </c>
      <c r="H15" s="114" t="s">
        <v>86</v>
      </c>
      <c r="I15" t="s">
        <v>91</v>
      </c>
    </row>
    <row r="16" spans="3:9" x14ac:dyDescent="0.2">
      <c r="C16" s="113"/>
      <c r="D16" s="106" t="s">
        <v>92</v>
      </c>
      <c r="E16" s="133">
        <v>7.0000000000000007E-2</v>
      </c>
      <c r="F16" s="107" t="s">
        <v>85</v>
      </c>
      <c r="G16" s="128">
        <v>9.5000000000000001E-2</v>
      </c>
      <c r="H16" s="114" t="s">
        <v>86</v>
      </c>
      <c r="I16" t="s">
        <v>93</v>
      </c>
    </row>
    <row r="17" spans="3:9" x14ac:dyDescent="0.2">
      <c r="C17" s="113"/>
      <c r="D17" s="725" t="s">
        <v>355</v>
      </c>
      <c r="E17" s="133">
        <v>0.19</v>
      </c>
      <c r="F17" s="107" t="s">
        <v>85</v>
      </c>
      <c r="G17" s="128">
        <v>0.19</v>
      </c>
      <c r="H17" s="114" t="s">
        <v>85</v>
      </c>
      <c r="I17" t="s">
        <v>93</v>
      </c>
    </row>
    <row r="18" spans="3:9" ht="16.899999999999999" customHeight="1" x14ac:dyDescent="0.2">
      <c r="C18" s="727" t="s">
        <v>341</v>
      </c>
      <c r="D18" s="728" t="s">
        <v>473</v>
      </c>
      <c r="E18" s="133"/>
      <c r="F18" s="107"/>
      <c r="G18" s="128"/>
      <c r="H18" s="114"/>
    </row>
    <row r="19" spans="3:9" ht="7.9" customHeight="1" x14ac:dyDescent="0.2">
      <c r="C19" s="113"/>
      <c r="D19" s="106"/>
      <c r="E19" s="133"/>
      <c r="F19" s="107"/>
      <c r="G19" s="128"/>
      <c r="H19" s="114"/>
    </row>
    <row r="20" spans="3:9" x14ac:dyDescent="0.2">
      <c r="C20" s="113" t="s">
        <v>94</v>
      </c>
      <c r="D20" s="106"/>
      <c r="E20" s="133">
        <v>0</v>
      </c>
      <c r="F20" s="107"/>
      <c r="G20" s="128">
        <v>0</v>
      </c>
      <c r="H20" s="114"/>
    </row>
    <row r="21" spans="3:9" ht="11.45" customHeight="1" x14ac:dyDescent="0.2">
      <c r="C21" s="113"/>
      <c r="D21" s="106"/>
      <c r="E21" s="132"/>
      <c r="F21" s="107"/>
      <c r="G21" s="129"/>
      <c r="H21" s="114"/>
    </row>
    <row r="22" spans="3:9" x14ac:dyDescent="0.2">
      <c r="C22" s="113" t="s">
        <v>95</v>
      </c>
      <c r="D22" s="106"/>
      <c r="E22" s="132"/>
      <c r="F22" s="107"/>
      <c r="G22" s="129"/>
      <c r="H22" s="114"/>
    </row>
    <row r="23" spans="3:9" x14ac:dyDescent="0.2">
      <c r="C23" s="113" t="s">
        <v>84</v>
      </c>
      <c r="D23" s="106" t="s">
        <v>96</v>
      </c>
      <c r="E23" s="133">
        <v>0.19</v>
      </c>
      <c r="F23" s="107" t="s">
        <v>85</v>
      </c>
      <c r="G23" s="128">
        <v>0.19</v>
      </c>
      <c r="H23" s="114" t="s">
        <v>85</v>
      </c>
    </row>
    <row r="24" spans="3:9" x14ac:dyDescent="0.2">
      <c r="C24" s="113" t="s">
        <v>84</v>
      </c>
      <c r="D24" s="106" t="s">
        <v>97</v>
      </c>
      <c r="E24" s="133">
        <v>0.19</v>
      </c>
      <c r="F24" s="107" t="s">
        <v>85</v>
      </c>
      <c r="G24" s="128">
        <v>0.19</v>
      </c>
      <c r="H24" s="114" t="s">
        <v>85</v>
      </c>
    </row>
    <row r="25" spans="3:9" ht="10.9" customHeight="1" x14ac:dyDescent="0.2">
      <c r="C25" s="113"/>
      <c r="D25" s="106"/>
      <c r="E25" s="132"/>
      <c r="F25" s="107"/>
      <c r="G25" s="129"/>
      <c r="H25" s="114"/>
    </row>
    <row r="26" spans="3:9" x14ac:dyDescent="0.2">
      <c r="C26" s="113" t="s">
        <v>98</v>
      </c>
      <c r="D26" s="106"/>
      <c r="E26" s="133">
        <v>0.19</v>
      </c>
      <c r="F26" s="107" t="s">
        <v>85</v>
      </c>
      <c r="G26" s="128">
        <v>0.19</v>
      </c>
      <c r="H26" s="114" t="s">
        <v>85</v>
      </c>
    </row>
    <row r="27" spans="3:9" ht="7.15" customHeight="1" x14ac:dyDescent="0.2">
      <c r="C27" s="113"/>
      <c r="D27" s="106"/>
      <c r="E27" s="132"/>
      <c r="F27" s="107"/>
      <c r="G27" s="129"/>
      <c r="H27" s="114"/>
    </row>
    <row r="28" spans="3:9" x14ac:dyDescent="0.2">
      <c r="C28" s="113" t="s">
        <v>99</v>
      </c>
      <c r="D28" s="106"/>
      <c r="E28" s="133">
        <v>0.19</v>
      </c>
      <c r="F28" s="107" t="s">
        <v>85</v>
      </c>
      <c r="G28" s="128">
        <v>0.19</v>
      </c>
      <c r="H28" s="114" t="s">
        <v>85</v>
      </c>
    </row>
    <row r="29" spans="3:9" ht="9" customHeight="1" x14ac:dyDescent="0.2">
      <c r="C29" s="113"/>
      <c r="D29" s="106"/>
      <c r="E29" s="133"/>
      <c r="F29" s="107"/>
      <c r="G29" s="128"/>
      <c r="H29" s="114"/>
    </row>
    <row r="30" spans="3:9" x14ac:dyDescent="0.2">
      <c r="C30" s="113" t="s">
        <v>100</v>
      </c>
      <c r="D30" s="106"/>
      <c r="E30" s="133"/>
      <c r="F30" s="107"/>
      <c r="G30" s="128"/>
      <c r="H30" s="114"/>
    </row>
    <row r="31" spans="3:9" x14ac:dyDescent="0.2">
      <c r="C31" s="113" t="s">
        <v>84</v>
      </c>
      <c r="D31" s="106" t="s">
        <v>101</v>
      </c>
      <c r="E31" s="133">
        <v>0</v>
      </c>
      <c r="F31" s="107"/>
      <c r="G31" s="128">
        <v>0</v>
      </c>
      <c r="H31" s="114"/>
    </row>
    <row r="32" spans="3:9" x14ac:dyDescent="0.2">
      <c r="C32" s="113" t="s">
        <v>84</v>
      </c>
      <c r="D32" s="106" t="s">
        <v>102</v>
      </c>
      <c r="E32" s="133">
        <v>0.19</v>
      </c>
      <c r="F32" s="107" t="s">
        <v>85</v>
      </c>
      <c r="G32" s="128">
        <v>0.19</v>
      </c>
      <c r="H32" s="114" t="s">
        <v>85</v>
      </c>
    </row>
    <row r="33" spans="3:8" ht="9.6" customHeight="1" x14ac:dyDescent="0.2">
      <c r="C33" s="113"/>
      <c r="D33" s="106"/>
      <c r="E33" s="132"/>
      <c r="F33" s="107"/>
      <c r="G33" s="129"/>
      <c r="H33" s="114"/>
    </row>
    <row r="34" spans="3:8" x14ac:dyDescent="0.2">
      <c r="C34" s="113" t="s">
        <v>353</v>
      </c>
      <c r="D34" s="106"/>
      <c r="E34" s="133" t="s">
        <v>352</v>
      </c>
      <c r="F34" s="107" t="s">
        <v>85</v>
      </c>
      <c r="G34" s="133" t="s">
        <v>352</v>
      </c>
      <c r="H34" s="114" t="s">
        <v>85</v>
      </c>
    </row>
    <row r="35" spans="3:8" x14ac:dyDescent="0.2">
      <c r="C35" s="736" t="s">
        <v>354</v>
      </c>
      <c r="D35" s="106"/>
      <c r="E35" s="132"/>
      <c r="F35" s="107"/>
      <c r="G35" s="129"/>
      <c r="H35" s="114"/>
    </row>
    <row r="36" spans="3:8" ht="20.45" customHeight="1" x14ac:dyDescent="0.2">
      <c r="C36" s="113" t="s">
        <v>103</v>
      </c>
      <c r="D36" s="106"/>
      <c r="E36" s="132"/>
      <c r="F36" s="107"/>
      <c r="G36" s="129"/>
      <c r="H36" s="114"/>
    </row>
    <row r="37" spans="3:8" x14ac:dyDescent="0.2">
      <c r="C37" s="113" t="s">
        <v>84</v>
      </c>
      <c r="D37" s="106" t="s">
        <v>104</v>
      </c>
      <c r="E37" s="133">
        <v>0.19</v>
      </c>
      <c r="F37" s="107" t="s">
        <v>85</v>
      </c>
      <c r="G37" s="128">
        <f>$G$10</f>
        <v>9.5000000000000001E-2</v>
      </c>
      <c r="H37" s="114" t="s">
        <v>86</v>
      </c>
    </row>
    <row r="38" spans="3:8" ht="13.5" thickBot="1" x14ac:dyDescent="0.25">
      <c r="C38" s="110" t="s">
        <v>84</v>
      </c>
      <c r="D38" s="115" t="s">
        <v>105</v>
      </c>
      <c r="E38" s="134">
        <v>0.19</v>
      </c>
      <c r="F38" s="126" t="s">
        <v>85</v>
      </c>
      <c r="G38" s="128">
        <f>$G$10</f>
        <v>9.5000000000000001E-2</v>
      </c>
      <c r="H38" s="116" t="s">
        <v>86</v>
      </c>
    </row>
    <row r="39" spans="3:8" ht="7.15" customHeight="1" x14ac:dyDescent="0.2">
      <c r="E39" s="111"/>
      <c r="F39" s="111"/>
      <c r="G39" s="111"/>
      <c r="H39" s="111"/>
    </row>
    <row r="40" spans="3:8" ht="15" x14ac:dyDescent="0.25">
      <c r="C40" s="124" t="s">
        <v>106</v>
      </c>
    </row>
    <row r="41" spans="3:8" ht="6" customHeight="1" thickBot="1" x14ac:dyDescent="0.25"/>
    <row r="42" spans="3:8" ht="15.75" customHeight="1" x14ac:dyDescent="0.2">
      <c r="C42" s="108"/>
      <c r="D42" s="111"/>
      <c r="E42" s="1064" t="s">
        <v>107</v>
      </c>
      <c r="F42" s="1066"/>
      <c r="G42" s="1064" t="s">
        <v>77</v>
      </c>
      <c r="H42" s="1065"/>
    </row>
    <row r="43" spans="3:8" ht="27.75" customHeight="1" x14ac:dyDescent="0.2">
      <c r="C43" s="113"/>
      <c r="D43" s="106"/>
      <c r="E43" s="1067" t="s">
        <v>78</v>
      </c>
      <c r="F43" s="1068"/>
      <c r="G43" s="1067" t="s">
        <v>108</v>
      </c>
      <c r="H43" s="1069"/>
    </row>
    <row r="44" spans="3:8" ht="15.75" customHeight="1" thickBot="1" x14ac:dyDescent="0.25">
      <c r="C44" s="135" t="s">
        <v>109</v>
      </c>
      <c r="D44" s="136"/>
      <c r="E44" s="118" t="s">
        <v>81</v>
      </c>
      <c r="F44" s="125" t="s">
        <v>110</v>
      </c>
      <c r="G44" s="118" t="s">
        <v>81</v>
      </c>
      <c r="H44" s="119" t="s">
        <v>110</v>
      </c>
    </row>
    <row r="45" spans="3:8" ht="15.6" customHeight="1" x14ac:dyDescent="0.2">
      <c r="C45" s="108" t="s">
        <v>111</v>
      </c>
      <c r="D45" s="111"/>
      <c r="E45" s="127"/>
      <c r="F45" s="112"/>
      <c r="G45" s="127"/>
      <c r="H45" s="120"/>
    </row>
    <row r="46" spans="3:8" x14ac:dyDescent="0.2">
      <c r="C46" s="113" t="s">
        <v>84</v>
      </c>
      <c r="D46" s="106" t="s">
        <v>112</v>
      </c>
      <c r="E46" s="128">
        <f>G10</f>
        <v>9.5000000000000001E-2</v>
      </c>
      <c r="F46" s="107" t="s">
        <v>85</v>
      </c>
      <c r="G46" s="128">
        <f>G37</f>
        <v>9.5000000000000001E-2</v>
      </c>
      <c r="H46" s="121" t="s">
        <v>86</v>
      </c>
    </row>
    <row r="47" spans="3:8" x14ac:dyDescent="0.2">
      <c r="C47" s="113" t="s">
        <v>84</v>
      </c>
      <c r="D47" s="106" t="s">
        <v>113</v>
      </c>
      <c r="E47" s="128">
        <v>7.0000000000000007E-2</v>
      </c>
      <c r="F47" s="107" t="s">
        <v>85</v>
      </c>
      <c r="G47" s="128">
        <v>7.0000000000000007E-2</v>
      </c>
      <c r="H47" s="121" t="s">
        <v>86</v>
      </c>
    </row>
    <row r="48" spans="3:8" x14ac:dyDescent="0.2">
      <c r="C48" s="113" t="s">
        <v>84</v>
      </c>
      <c r="D48" s="106" t="s">
        <v>114</v>
      </c>
      <c r="E48" s="128">
        <v>7.0000000000000007E-2</v>
      </c>
      <c r="F48" s="107" t="s">
        <v>85</v>
      </c>
      <c r="G48" s="128">
        <v>7.0000000000000007E-2</v>
      </c>
      <c r="H48" s="121" t="s">
        <v>86</v>
      </c>
    </row>
    <row r="49" spans="3:8" ht="9" customHeight="1" x14ac:dyDescent="0.2">
      <c r="C49" s="113"/>
      <c r="D49" s="106"/>
      <c r="E49" s="129"/>
      <c r="F49" s="107"/>
      <c r="G49" s="129"/>
      <c r="H49" s="121"/>
    </row>
    <row r="50" spans="3:8" x14ac:dyDescent="0.2">
      <c r="C50" s="113" t="s">
        <v>115</v>
      </c>
      <c r="D50" s="106"/>
      <c r="E50" s="129"/>
      <c r="F50" s="107"/>
      <c r="G50" s="129"/>
      <c r="H50" s="121"/>
    </row>
    <row r="51" spans="3:8" x14ac:dyDescent="0.2">
      <c r="C51" s="113" t="s">
        <v>84</v>
      </c>
      <c r="D51" s="106" t="s">
        <v>112</v>
      </c>
      <c r="E51" s="128">
        <f>G51</f>
        <v>9.5000000000000001E-2</v>
      </c>
      <c r="F51" s="107" t="s">
        <v>85</v>
      </c>
      <c r="G51" s="128">
        <f>G37</f>
        <v>9.5000000000000001E-2</v>
      </c>
      <c r="H51" s="121" t="s">
        <v>86</v>
      </c>
    </row>
    <row r="52" spans="3:8" x14ac:dyDescent="0.2">
      <c r="C52" s="113" t="s">
        <v>84</v>
      </c>
      <c r="D52" s="106" t="s">
        <v>113</v>
      </c>
      <c r="E52" s="128">
        <v>0.19</v>
      </c>
      <c r="F52" s="107" t="s">
        <v>85</v>
      </c>
      <c r="G52" s="128">
        <v>0.19</v>
      </c>
      <c r="H52" s="121" t="s">
        <v>86</v>
      </c>
    </row>
    <row r="53" spans="3:8" x14ac:dyDescent="0.2">
      <c r="C53" s="113" t="s">
        <v>84</v>
      </c>
      <c r="D53" s="106" t="s">
        <v>116</v>
      </c>
      <c r="E53" s="128">
        <v>0.19</v>
      </c>
      <c r="F53" s="107" t="s">
        <v>85</v>
      </c>
      <c r="G53" s="128">
        <v>0.19</v>
      </c>
      <c r="H53" s="121" t="s">
        <v>86</v>
      </c>
    </row>
    <row r="54" spans="3:8" x14ac:dyDescent="0.2">
      <c r="C54" s="113" t="s">
        <v>84</v>
      </c>
      <c r="D54" s="106" t="s">
        <v>117</v>
      </c>
      <c r="E54" s="128">
        <v>0</v>
      </c>
      <c r="F54" s="107"/>
      <c r="G54" s="128">
        <v>0</v>
      </c>
      <c r="H54" s="121"/>
    </row>
    <row r="55" spans="3:8" ht="9" customHeight="1" x14ac:dyDescent="0.2">
      <c r="C55" s="113"/>
      <c r="D55" s="106"/>
      <c r="E55" s="129"/>
      <c r="F55" s="107"/>
      <c r="G55" s="129"/>
      <c r="H55" s="121"/>
    </row>
    <row r="56" spans="3:8" x14ac:dyDescent="0.2">
      <c r="C56" s="113" t="s">
        <v>2</v>
      </c>
      <c r="D56" s="106"/>
      <c r="E56" s="129"/>
      <c r="F56" s="107"/>
      <c r="G56" s="129"/>
      <c r="H56" s="121"/>
    </row>
    <row r="57" spans="3:8" x14ac:dyDescent="0.2">
      <c r="C57" s="113" t="s">
        <v>84</v>
      </c>
      <c r="D57" s="106" t="s">
        <v>118</v>
      </c>
      <c r="E57" s="128">
        <v>0.19</v>
      </c>
      <c r="F57" s="107" t="s">
        <v>85</v>
      </c>
      <c r="G57" s="128">
        <v>0.19</v>
      </c>
      <c r="H57" s="121" t="s">
        <v>86</v>
      </c>
    </row>
    <row r="58" spans="3:8" x14ac:dyDescent="0.2">
      <c r="C58" s="113" t="s">
        <v>84</v>
      </c>
      <c r="D58" s="106" t="s">
        <v>8</v>
      </c>
      <c r="E58" s="128">
        <v>0.19</v>
      </c>
      <c r="F58" s="107" t="s">
        <v>85</v>
      </c>
      <c r="G58" s="128">
        <v>0.19</v>
      </c>
      <c r="H58" s="121" t="s">
        <v>86</v>
      </c>
    </row>
    <row r="59" spans="3:8" x14ac:dyDescent="0.2">
      <c r="C59" s="113" t="s">
        <v>84</v>
      </c>
      <c r="D59" s="106" t="s">
        <v>10</v>
      </c>
      <c r="E59" s="130">
        <v>7.0000000000000007E-2</v>
      </c>
      <c r="F59" s="107" t="s">
        <v>85</v>
      </c>
      <c r="G59" s="130">
        <v>7.0000000000000007E-2</v>
      </c>
      <c r="H59" s="121" t="s">
        <v>86</v>
      </c>
    </row>
    <row r="60" spans="3:8" x14ac:dyDescent="0.2">
      <c r="C60" s="113" t="s">
        <v>84</v>
      </c>
      <c r="D60" s="106" t="s">
        <v>119</v>
      </c>
      <c r="E60" s="128">
        <v>0.19</v>
      </c>
      <c r="F60" s="107" t="s">
        <v>85</v>
      </c>
      <c r="G60" s="128">
        <v>0.19</v>
      </c>
      <c r="H60" s="121" t="s">
        <v>86</v>
      </c>
    </row>
    <row r="61" spans="3:8" x14ac:dyDescent="0.2">
      <c r="C61" s="113" t="s">
        <v>84</v>
      </c>
      <c r="D61" s="106" t="s">
        <v>120</v>
      </c>
      <c r="E61" s="128">
        <v>0.19</v>
      </c>
      <c r="F61" s="107" t="s">
        <v>85</v>
      </c>
      <c r="G61" s="128">
        <v>0.19</v>
      </c>
      <c r="H61" s="121" t="s">
        <v>86</v>
      </c>
    </row>
    <row r="62" spans="3:8" x14ac:dyDescent="0.2">
      <c r="C62" s="113" t="s">
        <v>84</v>
      </c>
      <c r="D62" s="106" t="s">
        <v>121</v>
      </c>
      <c r="E62" s="128">
        <v>0.19</v>
      </c>
      <c r="F62" s="107" t="s">
        <v>85</v>
      </c>
      <c r="G62" s="128">
        <v>0.19</v>
      </c>
      <c r="H62" s="121" t="s">
        <v>86</v>
      </c>
    </row>
    <row r="63" spans="3:8" ht="13.5" thickBot="1" x14ac:dyDescent="0.25">
      <c r="C63" s="110" t="s">
        <v>84</v>
      </c>
      <c r="D63" s="115" t="s">
        <v>122</v>
      </c>
      <c r="E63" s="131">
        <v>0.19</v>
      </c>
      <c r="F63" s="126" t="s">
        <v>85</v>
      </c>
      <c r="G63" s="131">
        <v>0.19</v>
      </c>
      <c r="H63" s="122" t="s">
        <v>86</v>
      </c>
    </row>
    <row r="64" spans="3:8" ht="16.149999999999999" customHeight="1" x14ac:dyDescent="0.2">
      <c r="C64" s="730" t="s">
        <v>356</v>
      </c>
      <c r="D64" s="731"/>
      <c r="E64" s="731"/>
      <c r="F64" s="731"/>
      <c r="G64" s="731"/>
      <c r="H64" s="731"/>
    </row>
    <row r="65" spans="3:27" ht="41.45" customHeight="1" x14ac:dyDescent="0.2">
      <c r="C65" s="1062" t="s">
        <v>357</v>
      </c>
      <c r="D65" s="1062"/>
      <c r="E65" s="1062"/>
      <c r="F65" s="1062"/>
      <c r="G65" s="1062"/>
      <c r="H65" s="1062"/>
      <c r="I65" s="729"/>
      <c r="J65" s="729"/>
      <c r="K65" s="729"/>
      <c r="L65" s="729"/>
      <c r="M65" s="729"/>
      <c r="N65" s="729"/>
      <c r="O65" s="729"/>
      <c r="P65" s="729"/>
      <c r="Q65" s="729"/>
      <c r="R65" s="729"/>
      <c r="S65" s="729"/>
      <c r="T65" s="729"/>
      <c r="U65" s="729"/>
      <c r="V65" s="729"/>
      <c r="W65" s="729"/>
      <c r="X65" s="729"/>
      <c r="Y65" s="729"/>
      <c r="Z65" s="729"/>
      <c r="AA65" s="729"/>
    </row>
    <row r="66" spans="3:27" ht="25.9" customHeight="1" x14ac:dyDescent="0.2">
      <c r="C66" s="1063" t="s">
        <v>348</v>
      </c>
      <c r="D66" s="1063"/>
      <c r="E66" s="1063"/>
      <c r="F66" s="1063"/>
      <c r="G66" s="1063"/>
      <c r="H66" s="1063"/>
    </row>
    <row r="67" spans="3:27" x14ac:dyDescent="0.2">
      <c r="C67" s="732" t="s">
        <v>345</v>
      </c>
      <c r="D67" s="733"/>
      <c r="E67" s="731"/>
      <c r="F67" s="731"/>
      <c r="G67" s="731"/>
      <c r="H67" s="731"/>
    </row>
    <row r="68" spans="3:27" x14ac:dyDescent="0.2">
      <c r="C68" s="734" t="s">
        <v>346</v>
      </c>
      <c r="D68" s="733"/>
      <c r="E68" s="731"/>
      <c r="F68" s="731"/>
      <c r="G68" s="731"/>
      <c r="H68" s="731"/>
    </row>
    <row r="69" spans="3:27" x14ac:dyDescent="0.2">
      <c r="C69" s="732" t="s">
        <v>347</v>
      </c>
      <c r="D69" s="731"/>
      <c r="E69" s="731"/>
      <c r="F69" s="731"/>
      <c r="G69" s="731"/>
      <c r="H69" s="731"/>
    </row>
    <row r="70" spans="3:27" ht="15.6" customHeight="1" x14ac:dyDescent="0.2">
      <c r="C70" s="735" t="s">
        <v>349</v>
      </c>
    </row>
    <row r="71" spans="3:27" ht="16.149999999999999" customHeight="1" x14ac:dyDescent="0.2">
      <c r="C71" s="739" t="s">
        <v>123</v>
      </c>
    </row>
  </sheetData>
  <sheetProtection sheet="1" objects="1" scenarios="1"/>
  <mergeCells count="10">
    <mergeCell ref="C65:H65"/>
    <mergeCell ref="C66:H66"/>
    <mergeCell ref="G6:H6"/>
    <mergeCell ref="E6:F6"/>
    <mergeCell ref="E42:F42"/>
    <mergeCell ref="G42:H42"/>
    <mergeCell ref="E43:F43"/>
    <mergeCell ref="G43:H43"/>
    <mergeCell ref="E7:F7"/>
    <mergeCell ref="G7:H7"/>
  </mergeCells>
  <phoneticPr fontId="0" type="noConversion"/>
  <pageMargins left="0.70866141732283472" right="0.31496062992125984" top="0.39370078740157483" bottom="0.51181102362204722" header="0.31496062992125984" footer="0.31496062992125984"/>
  <pageSetup paperSize="9" scale="83" orientation="portrait" r:id="rId1"/>
  <headerFooter>
    <oddFooter>&amp;L&amp;F&amp;C&amp;A&amp;R&amp;D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58"/>
  <sheetViews>
    <sheetView showGridLines="0" showZeros="0" zoomScale="75" zoomScaleNormal="75" zoomScaleSheetLayoutView="75" workbookViewId="0">
      <selection activeCell="J67" sqref="J67"/>
    </sheetView>
  </sheetViews>
  <sheetFormatPr baseColWidth="10" defaultColWidth="11.28515625" defaultRowHeight="18" x14ac:dyDescent="0.25"/>
  <cols>
    <col min="1" max="1" width="1.85546875" style="2" customWidth="1"/>
    <col min="2" max="2" width="26" style="2" customWidth="1"/>
    <col min="3" max="3" width="26.28515625" style="2" customWidth="1"/>
    <col min="4" max="4" width="12.28515625" style="2" customWidth="1"/>
    <col min="5" max="5" width="20.85546875" style="2" customWidth="1"/>
    <col min="6" max="6" width="13.7109375" style="2" customWidth="1"/>
    <col min="7" max="7" width="24.140625" style="11" customWidth="1"/>
    <col min="8" max="8" width="7" style="2" customWidth="1"/>
    <col min="9" max="9" width="15.7109375" style="2" customWidth="1"/>
    <col min="10" max="10" width="18" style="2" customWidth="1"/>
    <col min="11" max="11" width="9.7109375" style="2" customWidth="1"/>
    <col min="12" max="12" width="4.140625" style="2" customWidth="1"/>
    <col min="13" max="13" width="15.7109375" style="2" customWidth="1"/>
    <col min="14" max="14" width="19.85546875" style="2" customWidth="1"/>
    <col min="15" max="15" width="16.140625" style="2" customWidth="1"/>
    <col min="16" max="16" width="14.7109375" style="2" customWidth="1"/>
    <col min="17" max="17" width="10.85546875" style="2" customWidth="1"/>
    <col min="18" max="18" width="14.28515625" style="2" customWidth="1"/>
    <col min="19" max="16384" width="11.28515625" style="2"/>
  </cols>
  <sheetData>
    <row r="1" spans="2:18" ht="5.25" customHeight="1" thickBot="1" x14ac:dyDescent="0.3"/>
    <row r="2" spans="2:18" ht="36" customHeight="1" thickBot="1" x14ac:dyDescent="0.3">
      <c r="B2" s="866" t="s">
        <v>196</v>
      </c>
      <c r="C2" s="867"/>
      <c r="D2" s="867"/>
      <c r="E2" s="867"/>
      <c r="F2" s="867"/>
      <c r="G2" s="867"/>
      <c r="H2" s="867"/>
      <c r="I2" s="868"/>
    </row>
    <row r="3" spans="2:18" ht="42" customHeight="1" x14ac:dyDescent="0.25">
      <c r="B3" s="869" t="s">
        <v>59</v>
      </c>
      <c r="C3" s="870"/>
      <c r="D3" s="871" t="s">
        <v>178</v>
      </c>
      <c r="E3" s="872"/>
      <c r="F3" s="217" t="s">
        <v>177</v>
      </c>
      <c r="G3" s="234" t="s">
        <v>175</v>
      </c>
      <c r="H3" s="204"/>
      <c r="I3" s="235" t="s">
        <v>176</v>
      </c>
      <c r="J3" s="3"/>
      <c r="K3" s="849" t="s">
        <v>314</v>
      </c>
      <c r="L3" s="849"/>
      <c r="M3" s="849"/>
      <c r="N3" s="849"/>
      <c r="O3" s="849"/>
      <c r="P3" s="849"/>
    </row>
    <row r="4" spans="2:18" ht="22.7" customHeight="1" x14ac:dyDescent="0.25">
      <c r="B4" s="876"/>
      <c r="C4" s="877"/>
      <c r="D4" s="863" t="s">
        <v>247</v>
      </c>
      <c r="E4" s="863" t="s">
        <v>253</v>
      </c>
      <c r="F4" s="873" t="s">
        <v>250</v>
      </c>
      <c r="G4" s="874"/>
      <c r="H4" s="874"/>
      <c r="I4" s="875"/>
      <c r="L4" s="11"/>
      <c r="M4" s="11"/>
      <c r="N4" s="11"/>
      <c r="O4" s="11"/>
    </row>
    <row r="5" spans="2:18" ht="67.7" customHeight="1" x14ac:dyDescent="0.25">
      <c r="B5" s="878"/>
      <c r="C5" s="879"/>
      <c r="D5" s="864"/>
      <c r="E5" s="864"/>
      <c r="F5" s="860"/>
      <c r="G5" s="861"/>
      <c r="H5" s="861"/>
      <c r="I5" s="862"/>
      <c r="K5" s="850" t="s">
        <v>245</v>
      </c>
      <c r="L5" s="11"/>
      <c r="M5" s="852" t="s">
        <v>246</v>
      </c>
      <c r="N5" s="853"/>
      <c r="O5" s="853"/>
      <c r="P5" s="853"/>
      <c r="Q5" s="853"/>
      <c r="R5" s="854"/>
    </row>
    <row r="6" spans="2:18" ht="24" customHeight="1" thickBot="1" x14ac:dyDescent="0.3">
      <c r="B6" s="273"/>
      <c r="C6" s="274"/>
      <c r="D6" s="865"/>
      <c r="E6" s="865"/>
      <c r="F6" s="275" t="s">
        <v>221</v>
      </c>
      <c r="G6" s="464" t="s">
        <v>252</v>
      </c>
      <c r="H6" s="858" t="s">
        <v>160</v>
      </c>
      <c r="I6" s="859"/>
      <c r="K6" s="851"/>
      <c r="L6" s="11"/>
      <c r="M6" s="429" t="s">
        <v>185</v>
      </c>
      <c r="N6" s="201" t="s">
        <v>187</v>
      </c>
      <c r="O6" s="219"/>
      <c r="P6" s="219"/>
      <c r="Q6" s="219"/>
      <c r="R6" s="430"/>
    </row>
    <row r="7" spans="2:18" ht="24" hidden="1" customHeight="1" x14ac:dyDescent="0.25">
      <c r="B7" s="497"/>
      <c r="C7" s="498"/>
      <c r="D7" s="465"/>
      <c r="E7" s="466"/>
      <c r="F7" s="510"/>
      <c r="G7" s="511"/>
      <c r="H7" s="502"/>
      <c r="I7" s="503"/>
      <c r="K7" s="512"/>
      <c r="L7" s="11"/>
      <c r="M7" s="513"/>
      <c r="N7" s="12"/>
      <c r="O7" s="3"/>
      <c r="P7" s="3"/>
      <c r="Q7" s="3"/>
      <c r="R7" s="430"/>
    </row>
    <row r="8" spans="2:18" ht="24" hidden="1" customHeight="1" x14ac:dyDescent="0.25">
      <c r="B8" s="497"/>
      <c r="C8" s="498"/>
      <c r="D8" s="465"/>
      <c r="E8" s="466"/>
      <c r="F8" s="510"/>
      <c r="G8" s="511"/>
      <c r="H8" s="502"/>
      <c r="I8" s="503"/>
      <c r="K8" s="512"/>
      <c r="L8" s="11"/>
      <c r="M8" s="513"/>
      <c r="N8" s="12"/>
      <c r="O8" s="3"/>
      <c r="P8" s="3"/>
      <c r="Q8" s="3"/>
      <c r="R8" s="430"/>
    </row>
    <row r="9" spans="2:18" ht="24" hidden="1" customHeight="1" thickBot="1" x14ac:dyDescent="0.3">
      <c r="B9" s="497"/>
      <c r="C9" s="498"/>
      <c r="D9" s="465"/>
      <c r="E9" s="466"/>
      <c r="F9" s="510"/>
      <c r="G9" s="511"/>
      <c r="H9" s="502"/>
      <c r="I9" s="503"/>
      <c r="K9" s="512"/>
      <c r="L9" s="11"/>
      <c r="M9" s="513"/>
      <c r="N9" s="12"/>
      <c r="O9" s="3"/>
      <c r="P9" s="3"/>
      <c r="Q9" s="3"/>
      <c r="R9" s="430"/>
    </row>
    <row r="10" spans="2:18" ht="21.2" customHeight="1" x14ac:dyDescent="0.25">
      <c r="B10" s="14" t="s">
        <v>3</v>
      </c>
      <c r="C10" s="621"/>
      <c r="D10" s="41"/>
      <c r="E10" s="443">
        <f>IF($H$3&gt;0,F10,F10/K10)</f>
        <v>0</v>
      </c>
      <c r="F10" s="427"/>
      <c r="G10" s="463">
        <v>0.19</v>
      </c>
      <c r="H10" s="142" t="s">
        <v>0</v>
      </c>
      <c r="I10" s="444">
        <f>D10*E10</f>
        <v>0</v>
      </c>
      <c r="K10" s="433">
        <f>IF(G10=$M$13,1,1+G10)</f>
        <v>1.19</v>
      </c>
      <c r="L10" s="434"/>
      <c r="M10" s="435">
        <v>0.19</v>
      </c>
      <c r="N10" s="436" t="s">
        <v>275</v>
      </c>
      <c r="O10" s="437"/>
      <c r="P10" s="3"/>
      <c r="Q10" s="3"/>
      <c r="R10" s="430"/>
    </row>
    <row r="11" spans="2:18" ht="21.2" customHeight="1" x14ac:dyDescent="0.25">
      <c r="B11" s="5" t="s">
        <v>5</v>
      </c>
      <c r="C11" s="622"/>
      <c r="D11" s="42"/>
      <c r="E11" s="443">
        <f>IF($H$3&gt;0,F11,F11/K11)</f>
        <v>0</v>
      </c>
      <c r="F11" s="51"/>
      <c r="G11" s="463">
        <v>0.19</v>
      </c>
      <c r="H11" s="145" t="s">
        <v>0</v>
      </c>
      <c r="I11" s="444">
        <f>D11*E11</f>
        <v>0</v>
      </c>
      <c r="K11" s="433">
        <f>IF(G11=$M$13,1,1+G11)</f>
        <v>1.19</v>
      </c>
      <c r="L11" s="438"/>
      <c r="M11" s="435">
        <v>7.0000000000000007E-2</v>
      </c>
      <c r="N11" s="436" t="s">
        <v>276</v>
      </c>
      <c r="O11" s="437"/>
      <c r="P11" s="3"/>
      <c r="Q11" s="3"/>
      <c r="R11" s="430"/>
    </row>
    <row r="12" spans="2:18" ht="21.2" customHeight="1" x14ac:dyDescent="0.25">
      <c r="B12" s="5" t="s">
        <v>5</v>
      </c>
      <c r="C12" s="622"/>
      <c r="D12" s="42"/>
      <c r="E12" s="443">
        <f>IF($H$3&gt;0,F12,F12/K12)</f>
        <v>0</v>
      </c>
      <c r="F12" s="51"/>
      <c r="G12" s="463">
        <v>0.19</v>
      </c>
      <c r="H12" s="145" t="s">
        <v>0</v>
      </c>
      <c r="I12" s="444">
        <f>D12*E12</f>
        <v>0</v>
      </c>
      <c r="K12" s="433">
        <f>IF(G12=$M$13,1,1+G12)</f>
        <v>1.19</v>
      </c>
      <c r="L12" s="438"/>
      <c r="M12" s="435">
        <v>0.19</v>
      </c>
      <c r="N12" s="436" t="s">
        <v>186</v>
      </c>
      <c r="O12" s="437"/>
      <c r="P12" s="3"/>
      <c r="Q12" s="431"/>
      <c r="R12" s="430"/>
    </row>
    <row r="13" spans="2:18" ht="21.2" customHeight="1" x14ac:dyDescent="0.25">
      <c r="B13" s="5" t="s">
        <v>5</v>
      </c>
      <c r="C13" s="622"/>
      <c r="D13" s="42"/>
      <c r="E13" s="443">
        <f>IF($H$3&gt;0,F13,F13/K13)</f>
        <v>0</v>
      </c>
      <c r="F13" s="51"/>
      <c r="G13" s="463">
        <v>0.19</v>
      </c>
      <c r="H13" s="145" t="s">
        <v>0</v>
      </c>
      <c r="I13" s="444">
        <f>D13*E13</f>
        <v>0</v>
      </c>
      <c r="K13" s="433">
        <f>IF(G13=$M$13,1,1+G13)</f>
        <v>1.19</v>
      </c>
      <c r="L13" s="438"/>
      <c r="M13" s="435">
        <v>9.5000000000000001E-2</v>
      </c>
      <c r="N13" s="436" t="s">
        <v>277</v>
      </c>
      <c r="O13" s="437"/>
      <c r="P13" s="3"/>
      <c r="Q13" s="3"/>
      <c r="R13" s="430"/>
    </row>
    <row r="14" spans="2:18" ht="21.2" customHeight="1" x14ac:dyDescent="0.25">
      <c r="B14" s="5" t="s">
        <v>5</v>
      </c>
      <c r="C14" s="622" t="s">
        <v>208</v>
      </c>
      <c r="D14" s="42"/>
      <c r="E14" s="443">
        <f>IF($H$3&gt;0,F14,F14/K14)</f>
        <v>0</v>
      </c>
      <c r="F14" s="428"/>
      <c r="G14" s="463">
        <v>0.19</v>
      </c>
      <c r="H14" s="145" t="s">
        <v>0</v>
      </c>
      <c r="I14" s="444">
        <f>D14*E14</f>
        <v>0</v>
      </c>
      <c r="K14" s="439">
        <f>IF(G14=$M$13,1,1+G14)</f>
        <v>1.19</v>
      </c>
      <c r="L14" s="438"/>
      <c r="M14" s="440">
        <v>7.0000000000000007E-2</v>
      </c>
      <c r="N14" s="441" t="s">
        <v>184</v>
      </c>
      <c r="O14" s="442"/>
      <c r="P14" s="219"/>
      <c r="Q14" s="219"/>
      <c r="R14" s="432"/>
    </row>
    <row r="15" spans="2:18" ht="24.75" customHeight="1" thickBot="1" x14ac:dyDescent="0.35">
      <c r="B15" s="23" t="s">
        <v>57</v>
      </c>
      <c r="C15" s="24"/>
      <c r="D15" s="25"/>
      <c r="E15" s="25"/>
      <c r="F15" s="25"/>
      <c r="G15" s="26"/>
      <c r="H15" s="445" t="s">
        <v>0</v>
      </c>
      <c r="I15" s="446">
        <f>SUM(I10:I14)</f>
        <v>0</v>
      </c>
      <c r="K15" s="11"/>
    </row>
    <row r="16" spans="2:18" ht="39.75" customHeight="1" x14ac:dyDescent="0.25">
      <c r="B16" s="53" t="s">
        <v>162</v>
      </c>
      <c r="C16" s="54"/>
      <c r="D16" s="55" t="s">
        <v>249</v>
      </c>
      <c r="E16" s="55" t="s">
        <v>179</v>
      </c>
      <c r="F16" s="56"/>
      <c r="G16" s="57" t="s">
        <v>17</v>
      </c>
      <c r="H16" s="883" t="s">
        <v>161</v>
      </c>
      <c r="I16" s="884"/>
      <c r="K16" s="882"/>
      <c r="L16" s="882"/>
      <c r="M16" s="882"/>
      <c r="N16" s="882"/>
      <c r="O16" s="882"/>
    </row>
    <row r="17" spans="2:16" ht="21.2" customHeight="1" x14ac:dyDescent="0.25">
      <c r="B17" s="14" t="s">
        <v>6</v>
      </c>
      <c r="C17" s="38"/>
      <c r="D17" s="51"/>
      <c r="E17" s="51"/>
      <c r="F17" s="98"/>
      <c r="G17" s="33"/>
      <c r="H17" s="20" t="s">
        <v>0</v>
      </c>
      <c r="I17" s="220">
        <f>D17*E17</f>
        <v>0</v>
      </c>
      <c r="K17" s="11" t="s">
        <v>383</v>
      </c>
    </row>
    <row r="18" spans="2:16" ht="21.2" customHeight="1" x14ac:dyDescent="0.25">
      <c r="B18" s="459"/>
      <c r="C18" s="460"/>
      <c r="D18" s="16" t="s">
        <v>37</v>
      </c>
      <c r="E18" s="17" t="s">
        <v>38</v>
      </c>
      <c r="F18" s="16" t="s">
        <v>278</v>
      </c>
      <c r="G18" s="69" t="s">
        <v>125</v>
      </c>
      <c r="H18" s="18" t="s">
        <v>0</v>
      </c>
      <c r="I18" s="221"/>
      <c r="K18" s="11" t="s">
        <v>32</v>
      </c>
    </row>
    <row r="19" spans="2:16" ht="21.2" customHeight="1" x14ac:dyDescent="0.25">
      <c r="B19" s="5" t="s">
        <v>18</v>
      </c>
      <c r="C19" s="28" t="s">
        <v>45</v>
      </c>
      <c r="D19" s="44"/>
      <c r="E19" s="35"/>
      <c r="F19" s="36"/>
      <c r="G19" s="447">
        <f t="shared" ref="G19:G26" si="0">D19*F19/100</f>
        <v>0</v>
      </c>
      <c r="H19" s="18" t="s">
        <v>0</v>
      </c>
      <c r="I19" s="220">
        <f t="shared" ref="I19:I26" si="1">D19*E19*F19</f>
        <v>0</v>
      </c>
    </row>
    <row r="20" spans="2:16" ht="21.2" customHeight="1" x14ac:dyDescent="0.25">
      <c r="B20" s="5" t="s">
        <v>19</v>
      </c>
      <c r="C20" s="28" t="s">
        <v>46</v>
      </c>
      <c r="D20" s="44"/>
      <c r="E20" s="35"/>
      <c r="F20" s="36"/>
      <c r="G20" s="447">
        <f t="shared" si="0"/>
        <v>0</v>
      </c>
      <c r="H20" s="18" t="s">
        <v>0</v>
      </c>
      <c r="I20" s="220">
        <f t="shared" si="1"/>
        <v>0</v>
      </c>
      <c r="K20" s="11" t="s">
        <v>165</v>
      </c>
    </row>
    <row r="21" spans="2:16" ht="21.2" customHeight="1" x14ac:dyDescent="0.25">
      <c r="B21" s="5" t="s">
        <v>20</v>
      </c>
      <c r="C21" s="28" t="s">
        <v>41</v>
      </c>
      <c r="D21" s="44"/>
      <c r="E21" s="35"/>
      <c r="F21" s="36"/>
      <c r="G21" s="448">
        <f t="shared" si="0"/>
        <v>0</v>
      </c>
      <c r="H21" s="18" t="s">
        <v>0</v>
      </c>
      <c r="I21" s="220">
        <f t="shared" si="1"/>
        <v>0</v>
      </c>
      <c r="K21" s="11" t="s">
        <v>60</v>
      </c>
    </row>
    <row r="22" spans="2:16" ht="21.2" customHeight="1" x14ac:dyDescent="0.25">
      <c r="B22" s="5" t="s">
        <v>21</v>
      </c>
      <c r="C22" s="28"/>
      <c r="D22" s="44"/>
      <c r="E22" s="35"/>
      <c r="F22" s="36"/>
      <c r="G22" s="447">
        <f t="shared" si="0"/>
        <v>0</v>
      </c>
      <c r="H22" s="18" t="s">
        <v>0</v>
      </c>
      <c r="I22" s="220">
        <f t="shared" si="1"/>
        <v>0</v>
      </c>
      <c r="K22" s="11"/>
    </row>
    <row r="23" spans="2:16" ht="21.2" customHeight="1" x14ac:dyDescent="0.25">
      <c r="B23" s="5" t="s">
        <v>22</v>
      </c>
      <c r="C23" s="28" t="s">
        <v>248</v>
      </c>
      <c r="D23" s="44"/>
      <c r="E23" s="35"/>
      <c r="F23" s="36"/>
      <c r="G23" s="447">
        <f t="shared" si="0"/>
        <v>0</v>
      </c>
      <c r="H23" s="18" t="s">
        <v>0</v>
      </c>
      <c r="I23" s="220">
        <f t="shared" si="1"/>
        <v>0</v>
      </c>
      <c r="K23" s="11"/>
    </row>
    <row r="24" spans="2:16" ht="21.2" customHeight="1" x14ac:dyDescent="0.25">
      <c r="B24" s="451" t="s">
        <v>35</v>
      </c>
      <c r="C24" s="452"/>
      <c r="D24" s="453"/>
      <c r="E24" s="454"/>
      <c r="F24" s="455"/>
      <c r="G24" s="456">
        <f t="shared" si="0"/>
        <v>0</v>
      </c>
      <c r="H24" s="457" t="s">
        <v>0</v>
      </c>
      <c r="I24" s="458">
        <f t="shared" si="1"/>
        <v>0</v>
      </c>
      <c r="K24" s="2" t="s">
        <v>228</v>
      </c>
      <c r="L24" s="560"/>
      <c r="M24" s="561"/>
      <c r="N24" s="623">
        <f>SUM(I19:I24)</f>
        <v>0</v>
      </c>
    </row>
    <row r="25" spans="2:16" ht="21.2" customHeight="1" x14ac:dyDescent="0.25">
      <c r="B25" s="14" t="s">
        <v>11</v>
      </c>
      <c r="C25" s="32" t="s">
        <v>42</v>
      </c>
      <c r="D25" s="99"/>
      <c r="E25" s="100"/>
      <c r="F25" s="38"/>
      <c r="G25" s="450">
        <f t="shared" si="0"/>
        <v>0</v>
      </c>
      <c r="H25" s="19" t="s">
        <v>0</v>
      </c>
      <c r="I25" s="218">
        <f t="shared" si="1"/>
        <v>0</v>
      </c>
      <c r="K25" s="11"/>
      <c r="N25" s="624"/>
    </row>
    <row r="26" spans="2:16" ht="21.2" customHeight="1" x14ac:dyDescent="0.25">
      <c r="B26" s="5" t="s">
        <v>11</v>
      </c>
      <c r="C26" s="28"/>
      <c r="D26" s="99"/>
      <c r="E26" s="100"/>
      <c r="F26" s="36"/>
      <c r="G26" s="449">
        <f t="shared" si="0"/>
        <v>0</v>
      </c>
      <c r="H26" s="19" t="s">
        <v>0</v>
      </c>
      <c r="I26" s="220">
        <f t="shared" si="1"/>
        <v>0</v>
      </c>
      <c r="K26" s="2" t="s">
        <v>315</v>
      </c>
      <c r="N26" s="626">
        <f>SUM(I25:I26)</f>
        <v>0</v>
      </c>
      <c r="P26" s="616"/>
    </row>
    <row r="27" spans="2:16" ht="21.2" customHeight="1" x14ac:dyDescent="0.25">
      <c r="B27" s="473" t="s">
        <v>10</v>
      </c>
      <c r="C27" s="37" t="s">
        <v>27</v>
      </c>
      <c r="D27" s="474"/>
      <c r="E27" s="544"/>
      <c r="F27" s="455"/>
      <c r="G27" s="475">
        <f>D27*F27/1000</f>
        <v>0</v>
      </c>
      <c r="H27" s="19" t="s">
        <v>0</v>
      </c>
      <c r="I27" s="75">
        <f>D27*E27*F27/1000</f>
        <v>0</v>
      </c>
    </row>
    <row r="28" spans="2:16" ht="21.2" customHeight="1" x14ac:dyDescent="0.25">
      <c r="B28" s="479" t="s">
        <v>1</v>
      </c>
      <c r="C28" s="480"/>
      <c r="D28" s="481"/>
      <c r="E28" s="482"/>
      <c r="F28" s="483"/>
      <c r="G28" s="484"/>
      <c r="H28" s="485" t="s">
        <v>0</v>
      </c>
      <c r="I28" s="486"/>
    </row>
    <row r="29" spans="2:16" ht="21.2" customHeight="1" x14ac:dyDescent="0.25">
      <c r="B29" s="476"/>
      <c r="C29" s="472"/>
      <c r="D29" s="477" t="s">
        <v>23</v>
      </c>
      <c r="E29" s="477" t="s">
        <v>164</v>
      </c>
      <c r="F29" s="477" t="s">
        <v>251</v>
      </c>
      <c r="G29" s="487" t="s">
        <v>17</v>
      </c>
      <c r="H29" s="478"/>
      <c r="I29" s="424"/>
    </row>
    <row r="30" spans="2:16" ht="21.2" customHeight="1" x14ac:dyDescent="0.25">
      <c r="B30" s="5" t="s">
        <v>12</v>
      </c>
      <c r="C30" s="6" t="s">
        <v>16</v>
      </c>
      <c r="D30" s="36"/>
      <c r="E30" s="35"/>
      <c r="F30" s="229"/>
      <c r="G30" s="29"/>
      <c r="H30" s="18" t="s">
        <v>0</v>
      </c>
      <c r="I30" s="220">
        <f t="shared" ref="I30:I40" si="2">D30*E30*F30</f>
        <v>0</v>
      </c>
    </row>
    <row r="31" spans="2:16" ht="21.2" customHeight="1" x14ac:dyDescent="0.25">
      <c r="B31" s="5" t="s">
        <v>8</v>
      </c>
      <c r="C31" s="6"/>
      <c r="D31" s="36"/>
      <c r="E31" s="39"/>
      <c r="F31" s="229"/>
      <c r="G31" s="29"/>
      <c r="H31" s="18" t="s">
        <v>0</v>
      </c>
      <c r="I31" s="220">
        <f t="shared" si="2"/>
        <v>0</v>
      </c>
    </row>
    <row r="32" spans="2:16" ht="21.2" customHeight="1" x14ac:dyDescent="0.25">
      <c r="B32" s="5" t="s">
        <v>7</v>
      </c>
      <c r="C32" s="28"/>
      <c r="D32" s="34"/>
      <c r="E32" s="39"/>
      <c r="F32" s="229"/>
      <c r="G32" s="29"/>
      <c r="H32" s="18" t="s">
        <v>0</v>
      </c>
      <c r="I32" s="220">
        <f t="shared" si="2"/>
        <v>0</v>
      </c>
    </row>
    <row r="33" spans="2:14" ht="21.2" customHeight="1" x14ac:dyDescent="0.25">
      <c r="B33" s="5" t="s">
        <v>15</v>
      </c>
      <c r="C33" s="28"/>
      <c r="D33" s="34"/>
      <c r="E33" s="39"/>
      <c r="F33" s="229"/>
      <c r="G33" s="29"/>
      <c r="H33" s="18" t="s">
        <v>0</v>
      </c>
      <c r="I33" s="220">
        <f t="shared" si="2"/>
        <v>0</v>
      </c>
    </row>
    <row r="34" spans="2:14" ht="21.2" customHeight="1" x14ac:dyDescent="0.25">
      <c r="B34" s="5" t="s">
        <v>9</v>
      </c>
      <c r="C34" s="28"/>
      <c r="D34" s="34"/>
      <c r="E34" s="39"/>
      <c r="F34" s="229"/>
      <c r="G34" s="29"/>
      <c r="H34" s="18" t="s">
        <v>0</v>
      </c>
      <c r="I34" s="220">
        <f t="shared" si="2"/>
        <v>0</v>
      </c>
    </row>
    <row r="35" spans="2:14" ht="21.2" customHeight="1" x14ac:dyDescent="0.25">
      <c r="B35" s="5" t="s">
        <v>163</v>
      </c>
      <c r="C35" s="28"/>
      <c r="D35" s="34"/>
      <c r="E35" s="39"/>
      <c r="F35" s="229"/>
      <c r="G35" s="29"/>
      <c r="H35" s="18" t="s">
        <v>0</v>
      </c>
      <c r="I35" s="220">
        <f t="shared" si="2"/>
        <v>0</v>
      </c>
    </row>
    <row r="36" spans="2:14" ht="21.2" customHeight="1" x14ac:dyDescent="0.25">
      <c r="B36" s="5" t="s">
        <v>68</v>
      </c>
      <c r="C36" s="28"/>
      <c r="D36" s="34"/>
      <c r="E36" s="39"/>
      <c r="F36" s="229"/>
      <c r="G36" s="29"/>
      <c r="H36" s="18" t="s">
        <v>0</v>
      </c>
      <c r="I36" s="220">
        <f t="shared" si="2"/>
        <v>0</v>
      </c>
    </row>
    <row r="37" spans="2:14" ht="21.2" customHeight="1" x14ac:dyDescent="0.25">
      <c r="B37" s="5" t="s">
        <v>14</v>
      </c>
      <c r="C37" s="28"/>
      <c r="D37" s="34"/>
      <c r="E37" s="39"/>
      <c r="F37" s="229"/>
      <c r="G37" s="29"/>
      <c r="H37" s="18" t="s">
        <v>0</v>
      </c>
      <c r="I37" s="220">
        <f t="shared" si="2"/>
        <v>0</v>
      </c>
    </row>
    <row r="38" spans="2:14" ht="21.2" customHeight="1" x14ac:dyDescent="0.25">
      <c r="B38" s="5" t="s">
        <v>33</v>
      </c>
      <c r="C38" s="28"/>
      <c r="D38" s="34"/>
      <c r="E38" s="39"/>
      <c r="F38" s="229"/>
      <c r="G38" s="29"/>
      <c r="H38" s="18" t="s">
        <v>0</v>
      </c>
      <c r="I38" s="220">
        <f t="shared" si="2"/>
        <v>0</v>
      </c>
    </row>
    <row r="39" spans="2:14" ht="21.2" customHeight="1" x14ac:dyDescent="0.25">
      <c r="B39" s="7" t="s">
        <v>2</v>
      </c>
      <c r="C39" s="30"/>
      <c r="D39" s="34"/>
      <c r="E39" s="39"/>
      <c r="F39" s="229"/>
      <c r="G39" s="31"/>
      <c r="H39" s="18" t="s">
        <v>0</v>
      </c>
      <c r="I39" s="220">
        <f t="shared" si="2"/>
        <v>0</v>
      </c>
      <c r="K39" s="11"/>
    </row>
    <row r="40" spans="2:14" ht="21.2" customHeight="1" x14ac:dyDescent="0.25">
      <c r="B40" s="193" t="s">
        <v>2</v>
      </c>
      <c r="C40" s="194"/>
      <c r="D40" s="34"/>
      <c r="E40" s="39"/>
      <c r="F40" s="229"/>
      <c r="G40" s="31"/>
      <c r="H40" s="18" t="s">
        <v>0</v>
      </c>
      <c r="I40" s="220">
        <f t="shared" si="2"/>
        <v>0</v>
      </c>
      <c r="K40" s="11"/>
    </row>
    <row r="41" spans="2:14" ht="21.2" customHeight="1" x14ac:dyDescent="0.25">
      <c r="B41" s="186" t="s">
        <v>170</v>
      </c>
      <c r="C41" s="192"/>
      <c r="D41" s="191"/>
      <c r="E41" s="784">
        <f>(E14+E17)/2</f>
        <v>0</v>
      </c>
      <c r="F41" s="230"/>
      <c r="G41" s="31"/>
      <c r="H41" s="187" t="s">
        <v>0</v>
      </c>
      <c r="I41" s="224">
        <f>E41*D41*F41</f>
        <v>0</v>
      </c>
      <c r="K41" s="11"/>
    </row>
    <row r="42" spans="2:14" ht="24.75" customHeight="1" thickBot="1" x14ac:dyDescent="0.35">
      <c r="B42" s="885" t="s">
        <v>62</v>
      </c>
      <c r="C42" s="886"/>
      <c r="D42" s="886"/>
      <c r="E42" s="886"/>
      <c r="F42" s="886"/>
      <c r="G42" s="887"/>
      <c r="H42" s="21" t="s">
        <v>0</v>
      </c>
      <c r="I42" s="104">
        <f>SUM(I17:I41)</f>
        <v>0</v>
      </c>
      <c r="K42" s="11"/>
    </row>
    <row r="43" spans="2:14" ht="28.5" customHeight="1" thickTop="1" thickBot="1" x14ac:dyDescent="0.4">
      <c r="B43" s="73" t="s">
        <v>127</v>
      </c>
      <c r="C43" s="74"/>
      <c r="D43" s="70"/>
      <c r="E43" s="70"/>
      <c r="F43" s="70"/>
      <c r="G43" s="70"/>
      <c r="H43" s="71" t="s">
        <v>0</v>
      </c>
      <c r="I43" s="72">
        <f>I15-I42</f>
        <v>0</v>
      </c>
      <c r="J43" s="13"/>
      <c r="K43" s="225"/>
    </row>
    <row r="44" spans="2:14" ht="23.25" customHeight="1" x14ac:dyDescent="0.25">
      <c r="B44" s="888" t="s">
        <v>260</v>
      </c>
      <c r="C44" s="889"/>
      <c r="D44" s="82"/>
      <c r="E44" s="76" t="s">
        <v>63</v>
      </c>
      <c r="F44" s="96"/>
      <c r="G44" s="93" t="s">
        <v>48</v>
      </c>
      <c r="H44" s="77" t="s">
        <v>0</v>
      </c>
      <c r="I44" s="78">
        <f>D44*F44</f>
        <v>0</v>
      </c>
      <c r="J44" s="13"/>
      <c r="K44" s="546" t="s">
        <v>279</v>
      </c>
      <c r="L44" s="857" t="s">
        <v>280</v>
      </c>
      <c r="M44" s="857"/>
      <c r="N44" s="547" t="s">
        <v>281</v>
      </c>
    </row>
    <row r="45" spans="2:14" ht="23.25" customHeight="1" x14ac:dyDescent="0.25">
      <c r="B45" s="890" t="s">
        <v>52</v>
      </c>
      <c r="C45" s="891"/>
      <c r="D45" s="488"/>
      <c r="E45" s="79" t="s">
        <v>255</v>
      </c>
      <c r="F45" s="549">
        <f>SUM(K45:N45)*100</f>
        <v>6.0000000000000009</v>
      </c>
      <c r="G45" s="94" t="s">
        <v>254</v>
      </c>
      <c r="H45" s="80" t="s">
        <v>0</v>
      </c>
      <c r="I45" s="81">
        <f>D45*F45/100</f>
        <v>0</v>
      </c>
      <c r="J45" s="631" t="s">
        <v>318</v>
      </c>
      <c r="K45" s="545">
        <v>0.03</v>
      </c>
      <c r="L45" s="855">
        <v>0.02</v>
      </c>
      <c r="M45" s="856"/>
      <c r="N45" s="545">
        <v>0.01</v>
      </c>
    </row>
    <row r="46" spans="2:14" ht="23.25" customHeight="1" x14ac:dyDescent="0.25">
      <c r="B46" s="890" t="s">
        <v>53</v>
      </c>
      <c r="C46" s="891"/>
      <c r="D46" s="488"/>
      <c r="E46" s="79" t="s">
        <v>255</v>
      </c>
      <c r="F46" s="549">
        <f t="shared" ref="F46:F47" si="3">SUM(K46:N46)*100</f>
        <v>6.5</v>
      </c>
      <c r="G46" s="94" t="s">
        <v>254</v>
      </c>
      <c r="H46" s="80" t="s">
        <v>0</v>
      </c>
      <c r="I46" s="81">
        <f>D46*F46/100</f>
        <v>0</v>
      </c>
      <c r="J46" s="631" t="s">
        <v>319</v>
      </c>
      <c r="K46" s="545">
        <v>2.5000000000000001E-2</v>
      </c>
      <c r="L46" s="855">
        <v>0.02</v>
      </c>
      <c r="M46" s="856"/>
      <c r="N46" s="545">
        <v>0.02</v>
      </c>
    </row>
    <row r="47" spans="2:14" ht="23.25" customHeight="1" x14ac:dyDescent="0.25">
      <c r="B47" s="890" t="s">
        <v>135</v>
      </c>
      <c r="C47" s="891"/>
      <c r="D47" s="488"/>
      <c r="E47" s="79" t="s">
        <v>255</v>
      </c>
      <c r="F47" s="549">
        <f t="shared" si="3"/>
        <v>10</v>
      </c>
      <c r="G47" s="94" t="s">
        <v>254</v>
      </c>
      <c r="H47" s="80" t="s">
        <v>0</v>
      </c>
      <c r="I47" s="81">
        <f>D47*F47/100</f>
        <v>0</v>
      </c>
      <c r="J47" s="631" t="s">
        <v>320</v>
      </c>
      <c r="K47" s="545">
        <v>0.08</v>
      </c>
      <c r="L47" s="855">
        <v>0.02</v>
      </c>
      <c r="M47" s="856"/>
      <c r="N47" s="548"/>
    </row>
    <row r="48" spans="2:14" ht="23.25" customHeight="1" x14ac:dyDescent="0.25">
      <c r="B48" s="890" t="s">
        <v>391</v>
      </c>
      <c r="C48" s="891"/>
      <c r="D48" s="490"/>
      <c r="E48" s="79" t="s">
        <v>64</v>
      </c>
      <c r="F48" s="97"/>
      <c r="G48" s="94" t="s">
        <v>34</v>
      </c>
      <c r="H48" s="80" t="s">
        <v>0</v>
      </c>
      <c r="I48" s="81">
        <f>D48*F48</f>
        <v>0</v>
      </c>
      <c r="J48" s="13"/>
      <c r="K48" s="225"/>
    </row>
    <row r="49" spans="2:11" ht="23.25" customHeight="1" x14ac:dyDescent="0.25">
      <c r="B49" s="898" t="s">
        <v>137</v>
      </c>
      <c r="C49" s="899"/>
      <c r="D49" s="488"/>
      <c r="E49" s="79" t="s">
        <v>256</v>
      </c>
      <c r="F49" s="488"/>
      <c r="G49" s="95" t="s">
        <v>257</v>
      </c>
      <c r="H49" s="19" t="s">
        <v>0</v>
      </c>
      <c r="I49" s="75">
        <f>F49</f>
        <v>0</v>
      </c>
      <c r="J49" s="13"/>
      <c r="K49" s="225"/>
    </row>
    <row r="50" spans="2:11" ht="23.25" customHeight="1" thickBot="1" x14ac:dyDescent="0.35">
      <c r="B50" s="892" t="s">
        <v>65</v>
      </c>
      <c r="C50" s="893"/>
      <c r="D50" s="893"/>
      <c r="E50" s="893"/>
      <c r="F50" s="893"/>
      <c r="G50" s="894"/>
      <c r="H50" s="770" t="s">
        <v>0</v>
      </c>
      <c r="I50" s="771">
        <f>SUM(I44:I49)</f>
        <v>0</v>
      </c>
      <c r="J50" s="13"/>
      <c r="K50" s="225"/>
    </row>
    <row r="51" spans="2:11" ht="23.25" customHeight="1" thickBot="1" x14ac:dyDescent="0.35">
      <c r="B51" s="764" t="s">
        <v>379</v>
      </c>
      <c r="C51" s="765"/>
      <c r="D51" s="765"/>
      <c r="E51" s="765"/>
      <c r="F51" s="765"/>
      <c r="G51" s="766"/>
      <c r="H51" s="767"/>
      <c r="I51" s="768">
        <f>I42+I50</f>
        <v>0</v>
      </c>
      <c r="J51" s="13">
        <f>J42+J50</f>
        <v>0</v>
      </c>
      <c r="K51" s="225"/>
    </row>
    <row r="52" spans="2:11" ht="25.5" customHeight="1" thickTop="1" x14ac:dyDescent="0.35">
      <c r="B52" s="895" t="s">
        <v>410</v>
      </c>
      <c r="C52" s="896"/>
      <c r="D52" s="896"/>
      <c r="E52" s="896"/>
      <c r="F52" s="896"/>
      <c r="G52" s="897"/>
      <c r="H52" s="240" t="s">
        <v>0</v>
      </c>
      <c r="I52" s="241">
        <f>I15-I51</f>
        <v>0</v>
      </c>
      <c r="J52" s="13">
        <f>J15-J51</f>
        <v>0</v>
      </c>
      <c r="K52" s="225"/>
    </row>
    <row r="53" spans="2:11" ht="25.5" customHeight="1" x14ac:dyDescent="0.3">
      <c r="B53" s="242" t="s">
        <v>191</v>
      </c>
      <c r="C53" s="243"/>
      <c r="D53" s="243"/>
      <c r="E53" s="243"/>
      <c r="F53" s="243"/>
      <c r="G53" s="244" t="s">
        <v>207</v>
      </c>
      <c r="H53" s="237" t="s">
        <v>0</v>
      </c>
      <c r="I53" s="462">
        <f>I52+I44</f>
        <v>0</v>
      </c>
      <c r="J53" s="13"/>
      <c r="K53" s="225"/>
    </row>
    <row r="54" spans="2:11" ht="25.5" customHeight="1" x14ac:dyDescent="0.3">
      <c r="B54" s="147"/>
      <c r="C54" s="148"/>
      <c r="D54" s="148"/>
      <c r="E54" s="148"/>
      <c r="F54" s="148"/>
      <c r="G54" s="148" t="s">
        <v>192</v>
      </c>
      <c r="H54" s="86" t="s">
        <v>0</v>
      </c>
      <c r="I54" s="461">
        <f>IF(D44=0,0,I53/D44)</f>
        <v>0</v>
      </c>
      <c r="J54" s="13"/>
      <c r="K54" s="225"/>
    </row>
    <row r="55" spans="2:11" ht="45.75" customHeight="1" thickBot="1" x14ac:dyDescent="0.4">
      <c r="B55" s="880" t="s">
        <v>285</v>
      </c>
      <c r="C55" s="881"/>
      <c r="D55" s="881"/>
      <c r="E55" s="91" t="s">
        <v>49</v>
      </c>
      <c r="F55" s="231">
        <f>IF(D10=0,0,(I42+I50-I11-I12-I13-I14)/D10)</f>
        <v>0</v>
      </c>
      <c r="G55" s="89" t="s">
        <v>43</v>
      </c>
      <c r="H55" s="90" t="s">
        <v>0</v>
      </c>
      <c r="I55" s="227">
        <f>F55*K10</f>
        <v>0</v>
      </c>
      <c r="J55" s="13"/>
      <c r="K55" s="225"/>
    </row>
    <row r="56" spans="2:11" ht="39.200000000000003" customHeight="1" x14ac:dyDescent="0.25">
      <c r="B56" s="3"/>
      <c r="C56" s="3"/>
      <c r="D56" s="3"/>
      <c r="E56" s="3"/>
      <c r="F56" s="3"/>
      <c r="G56" s="12"/>
      <c r="H56" s="3"/>
      <c r="I56" s="177"/>
      <c r="J56" s="13"/>
    </row>
    <row r="58" spans="2:11" x14ac:dyDescent="0.25">
      <c r="F58" s="11"/>
      <c r="G58" s="2"/>
    </row>
  </sheetData>
  <sheetProtection sheet="1" objects="1" scenarios="1"/>
  <mergeCells count="28">
    <mergeCell ref="B55:D55"/>
    <mergeCell ref="K16:O16"/>
    <mergeCell ref="H16:I16"/>
    <mergeCell ref="B42:G42"/>
    <mergeCell ref="B44:C44"/>
    <mergeCell ref="B45:C45"/>
    <mergeCell ref="B48:C48"/>
    <mergeCell ref="B50:G50"/>
    <mergeCell ref="B52:G52"/>
    <mergeCell ref="L45:M45"/>
    <mergeCell ref="B49:C49"/>
    <mergeCell ref="B46:C46"/>
    <mergeCell ref="B47:C47"/>
    <mergeCell ref="H6:I6"/>
    <mergeCell ref="F5:I5"/>
    <mergeCell ref="D4:D6"/>
    <mergeCell ref="E4:E6"/>
    <mergeCell ref="B2:I2"/>
    <mergeCell ref="B3:C3"/>
    <mergeCell ref="D3:E3"/>
    <mergeCell ref="F4:I4"/>
    <mergeCell ref="B4:C5"/>
    <mergeCell ref="K3:P3"/>
    <mergeCell ref="K5:K6"/>
    <mergeCell ref="M5:R5"/>
    <mergeCell ref="L46:M46"/>
    <mergeCell ref="L47:M47"/>
    <mergeCell ref="L44:M44"/>
  </mergeCells>
  <phoneticPr fontId="0" type="noConversion"/>
  <printOptions headings="1"/>
  <pageMargins left="0.51181102362204722" right="0.51181102362204722" top="0.59055118110236227" bottom="0.39370078740157483" header="0.31496062992125984" footer="0.31496062992125984"/>
  <pageSetup paperSize="9" scale="62" orientation="portrait" verticalDpi="1200" r:id="rId1"/>
  <headerFooter>
    <oddFooter>&amp;L&amp;F&amp;C&amp;A&amp;R&amp;D</oddFooter>
  </headerFooter>
  <rowBreaks count="1" manualBreakCount="1">
    <brk id="55"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58"/>
  <sheetViews>
    <sheetView showGridLines="0" showZeros="0" zoomScale="75" zoomScaleNormal="75" zoomScaleSheetLayoutView="75" workbookViewId="0">
      <pane ySplit="9" topLeftCell="A10" activePane="bottomLeft" state="frozen"/>
      <selection activeCell="J67" sqref="J67"/>
      <selection pane="bottomLeft" activeCell="J67" sqref="J67"/>
    </sheetView>
  </sheetViews>
  <sheetFormatPr baseColWidth="10" defaultColWidth="11.28515625" defaultRowHeight="18" x14ac:dyDescent="0.25"/>
  <cols>
    <col min="1" max="1" width="1.85546875" style="1" customWidth="1"/>
    <col min="2" max="2" width="25.85546875" style="2" customWidth="1"/>
    <col min="3" max="3" width="20.140625" style="2" customWidth="1"/>
    <col min="4" max="4" width="12.28515625" style="2" customWidth="1"/>
    <col min="5" max="5" width="19.140625" style="2" customWidth="1"/>
    <col min="6" max="6" width="12.28515625" style="2" customWidth="1"/>
    <col min="7" max="7" width="20.85546875" style="11" customWidth="1"/>
    <col min="8" max="8" width="5.28515625" style="1" customWidth="1"/>
    <col min="9" max="9" width="12" style="1" customWidth="1"/>
    <col min="10" max="10" width="11.85546875" style="1" customWidth="1"/>
    <col min="11" max="11" width="3.140625" style="1" customWidth="1"/>
    <col min="12" max="12" width="1.7109375" style="1" customWidth="1"/>
    <col min="13" max="13" width="15.7109375" style="1" customWidth="1"/>
    <col min="14" max="14" width="13.28515625" style="1" customWidth="1"/>
    <col min="15" max="15" width="10.28515625" style="1" customWidth="1"/>
    <col min="16" max="16" width="15.140625" style="1" bestFit="1" customWidth="1"/>
    <col min="17" max="17" width="20.140625" style="1" customWidth="1"/>
    <col min="18" max="18" width="7.140625" style="1" customWidth="1"/>
    <col min="19" max="19" width="3.7109375" style="1" customWidth="1"/>
    <col min="20" max="20" width="4.7109375" style="1" customWidth="1"/>
    <col min="21" max="21" width="10.85546875" style="1" customWidth="1"/>
    <col min="22" max="16384" width="11.28515625" style="1"/>
  </cols>
  <sheetData>
    <row r="1" spans="2:21" ht="5.25" customHeight="1" thickBot="1" x14ac:dyDescent="0.3"/>
    <row r="2" spans="2:21" ht="36" customHeight="1" thickBot="1" x14ac:dyDescent="0.3">
      <c r="B2" s="866" t="s">
        <v>55</v>
      </c>
      <c r="C2" s="867"/>
      <c r="D2" s="867"/>
      <c r="E2" s="867"/>
      <c r="F2" s="867"/>
      <c r="G2" s="867"/>
      <c r="H2" s="867"/>
      <c r="I2" s="867"/>
      <c r="J2" s="868"/>
      <c r="K2" s="252"/>
    </row>
    <row r="3" spans="2:21" ht="42" customHeight="1" x14ac:dyDescent="0.25">
      <c r="B3" s="912" t="s">
        <v>390</v>
      </c>
      <c r="C3" s="913"/>
      <c r="D3" s="914" t="s">
        <v>178</v>
      </c>
      <c r="E3" s="915"/>
      <c r="F3" s="185" t="s">
        <v>177</v>
      </c>
      <c r="G3" s="236" t="s">
        <v>175</v>
      </c>
      <c r="H3" s="196"/>
      <c r="I3" s="236" t="s">
        <v>176</v>
      </c>
      <c r="J3" s="251"/>
      <c r="K3" s="252"/>
      <c r="M3" s="924" t="s">
        <v>190</v>
      </c>
      <c r="N3" s="924"/>
      <c r="O3" s="924"/>
      <c r="P3" s="924"/>
      <c r="Q3" s="924"/>
    </row>
    <row r="4" spans="2:21" ht="22.7" customHeight="1" x14ac:dyDescent="0.25">
      <c r="B4" s="876"/>
      <c r="C4" s="921"/>
      <c r="D4" s="906" t="s">
        <v>23</v>
      </c>
      <c r="E4" s="863" t="s">
        <v>180</v>
      </c>
      <c r="F4" s="901" t="s">
        <v>4</v>
      </c>
      <c r="G4" s="902"/>
      <c r="H4" s="902"/>
      <c r="I4" s="902"/>
      <c r="J4" s="903"/>
      <c r="K4" s="252"/>
      <c r="Q4" s="11"/>
      <c r="R4" s="11"/>
      <c r="S4" s="11"/>
    </row>
    <row r="5" spans="2:21" ht="70.150000000000006" customHeight="1" x14ac:dyDescent="0.25">
      <c r="B5" s="922"/>
      <c r="C5" s="923"/>
      <c r="D5" s="907"/>
      <c r="E5" s="864"/>
      <c r="F5" s="909" t="s">
        <v>388</v>
      </c>
      <c r="G5" s="910"/>
      <c r="H5" s="910"/>
      <c r="I5" s="910"/>
      <c r="J5" s="911"/>
      <c r="K5" s="252"/>
      <c r="M5" s="63"/>
      <c r="N5" s="11"/>
      <c r="O5" s="11"/>
      <c r="P5" s="11"/>
      <c r="Q5" s="11"/>
      <c r="R5" s="11"/>
      <c r="S5" s="11"/>
    </row>
    <row r="6" spans="2:21" ht="28.5" customHeight="1" thickBot="1" x14ac:dyDescent="0.3">
      <c r="B6" s="164" t="s">
        <v>296</v>
      </c>
      <c r="C6" s="165"/>
      <c r="D6" s="908"/>
      <c r="E6" s="865"/>
      <c r="F6" s="904" t="s">
        <v>155</v>
      </c>
      <c r="G6" s="905"/>
      <c r="H6" s="181"/>
      <c r="I6" s="182">
        <v>1</v>
      </c>
      <c r="J6" s="167">
        <v>0.9</v>
      </c>
      <c r="K6" s="252"/>
      <c r="M6" s="63"/>
      <c r="N6" s="11"/>
      <c r="O6" s="11"/>
      <c r="P6" s="11"/>
      <c r="Q6" s="11"/>
      <c r="R6" s="11"/>
      <c r="S6" s="11"/>
    </row>
    <row r="7" spans="2:21" ht="28.5" hidden="1" customHeight="1" x14ac:dyDescent="0.25">
      <c r="B7" s="504"/>
      <c r="C7" s="505"/>
      <c r="D7" s="465"/>
      <c r="E7" s="465"/>
      <c r="F7" s="506"/>
      <c r="G7" s="506"/>
      <c r="H7" s="507"/>
      <c r="I7" s="508"/>
      <c r="J7" s="509"/>
      <c r="K7" s="252"/>
      <c r="M7" s="63"/>
      <c r="N7" s="11"/>
      <c r="O7" s="11"/>
      <c r="P7" s="11"/>
      <c r="Q7" s="11"/>
      <c r="R7" s="11"/>
      <c r="S7" s="11"/>
    </row>
    <row r="8" spans="2:21" ht="28.5" hidden="1" customHeight="1" x14ac:dyDescent="0.25">
      <c r="B8" s="504"/>
      <c r="C8" s="505"/>
      <c r="D8" s="465"/>
      <c r="E8" s="465"/>
      <c r="F8" s="506"/>
      <c r="G8" s="506"/>
      <c r="H8" s="507"/>
      <c r="I8" s="508"/>
      <c r="J8" s="509"/>
      <c r="K8" s="252"/>
      <c r="M8" s="63"/>
      <c r="N8" s="11"/>
      <c r="O8" s="11"/>
      <c r="P8" s="11"/>
      <c r="Q8" s="11"/>
      <c r="R8" s="11"/>
      <c r="S8" s="11"/>
    </row>
    <row r="9" spans="2:21" ht="28.5" hidden="1" customHeight="1" x14ac:dyDescent="0.25">
      <c r="B9" s="504"/>
      <c r="C9" s="505"/>
      <c r="D9" s="465"/>
      <c r="E9" s="465"/>
      <c r="F9" s="506"/>
      <c r="G9" s="506"/>
      <c r="H9" s="507"/>
      <c r="I9" s="508"/>
      <c r="J9" s="509"/>
      <c r="K9" s="252"/>
      <c r="M9" s="63"/>
      <c r="N9" s="11"/>
      <c r="O9" s="11"/>
      <c r="P9" s="11"/>
      <c r="Q9" s="11"/>
      <c r="R9" s="11"/>
      <c r="S9" s="11"/>
    </row>
    <row r="10" spans="2:21" ht="21.2" customHeight="1" x14ac:dyDescent="0.25">
      <c r="B10" s="14" t="s">
        <v>3</v>
      </c>
      <c r="C10" s="205" t="s">
        <v>72</v>
      </c>
      <c r="D10" s="166">
        <v>12</v>
      </c>
      <c r="E10" s="85">
        <f>F10/$R$12</f>
        <v>310.92436974789916</v>
      </c>
      <c r="F10" s="206">
        <v>370</v>
      </c>
      <c r="G10" s="198" t="s">
        <v>43</v>
      </c>
      <c r="H10" s="20" t="s">
        <v>0</v>
      </c>
      <c r="I10" s="152">
        <f>D10*E10</f>
        <v>3731.09243697479</v>
      </c>
      <c r="J10" s="10">
        <f>I10*$J$6</f>
        <v>3357.9831932773109</v>
      </c>
      <c r="K10" s="252"/>
      <c r="M10" s="60" t="s">
        <v>28</v>
      </c>
      <c r="N10" s="11" t="s">
        <v>129</v>
      </c>
      <c r="O10" s="11"/>
      <c r="P10" s="11"/>
      <c r="Q10" s="11"/>
      <c r="R10" s="11"/>
      <c r="S10" s="11"/>
    </row>
    <row r="11" spans="2:21" ht="21.2" customHeight="1" x14ac:dyDescent="0.25">
      <c r="B11" s="5" t="s">
        <v>5</v>
      </c>
      <c r="C11" s="28" t="s">
        <v>194</v>
      </c>
      <c r="D11" s="42">
        <v>12</v>
      </c>
      <c r="E11" s="85">
        <f>F11/$R$12</f>
        <v>50.420168067226896</v>
      </c>
      <c r="F11" s="206">
        <v>60</v>
      </c>
      <c r="G11" s="198" t="s">
        <v>43</v>
      </c>
      <c r="H11" s="18" t="s">
        <v>0</v>
      </c>
      <c r="I11" s="152">
        <f>D11*E11</f>
        <v>605.04201680672281</v>
      </c>
      <c r="J11" s="10">
        <f>I11*$J$6</f>
        <v>544.53781512605053</v>
      </c>
      <c r="K11" s="252"/>
      <c r="M11" s="11"/>
      <c r="N11" s="11" t="s">
        <v>40</v>
      </c>
      <c r="O11" s="11"/>
      <c r="P11" s="11"/>
      <c r="Q11" s="11"/>
      <c r="R11" s="11"/>
      <c r="S11" s="11"/>
    </row>
    <row r="12" spans="2:21" ht="21.2" customHeight="1" x14ac:dyDescent="0.25">
      <c r="B12" s="5" t="s">
        <v>5</v>
      </c>
      <c r="C12" s="28"/>
      <c r="D12" s="42"/>
      <c r="E12" s="85">
        <f>F12/$R$12</f>
        <v>0</v>
      </c>
      <c r="F12" s="206"/>
      <c r="G12" s="198" t="s">
        <v>43</v>
      </c>
      <c r="H12" s="18" t="s">
        <v>0</v>
      </c>
      <c r="I12" s="152">
        <f>D12*E12</f>
        <v>0</v>
      </c>
      <c r="J12" s="10">
        <f>I12*$J$6</f>
        <v>0</v>
      </c>
      <c r="K12" s="252"/>
      <c r="M12" s="11"/>
      <c r="N12" s="11"/>
      <c r="O12" s="84">
        <v>0.19</v>
      </c>
      <c r="P12" s="11" t="s">
        <v>29</v>
      </c>
      <c r="Q12" s="11"/>
      <c r="R12" s="62">
        <f>1+O12</f>
        <v>1.19</v>
      </c>
      <c r="S12" s="11" t="s">
        <v>30</v>
      </c>
    </row>
    <row r="13" spans="2:21" ht="21.2" customHeight="1" x14ac:dyDescent="0.25">
      <c r="B13" s="5" t="s">
        <v>5</v>
      </c>
      <c r="C13" s="28"/>
      <c r="D13" s="42"/>
      <c r="E13" s="85">
        <f>F13/$R$12</f>
        <v>0</v>
      </c>
      <c r="F13" s="206"/>
      <c r="G13" s="198" t="s">
        <v>43</v>
      </c>
      <c r="H13" s="18" t="s">
        <v>0</v>
      </c>
      <c r="I13" s="152">
        <f>D13*E13</f>
        <v>0</v>
      </c>
      <c r="J13" s="10">
        <f>I13*$J$6</f>
        <v>0</v>
      </c>
      <c r="K13" s="252"/>
      <c r="M13" s="11"/>
      <c r="N13" s="68"/>
      <c r="O13" s="68"/>
      <c r="P13" s="68"/>
      <c r="Q13" s="68"/>
      <c r="R13" s="68"/>
      <c r="S13" s="68"/>
      <c r="T13" s="68"/>
    </row>
    <row r="14" spans="2:21" ht="21.2" customHeight="1" x14ac:dyDescent="0.25">
      <c r="B14" s="5" t="s">
        <v>5</v>
      </c>
      <c r="C14" s="28"/>
      <c r="D14" s="42"/>
      <c r="E14" s="85">
        <f>F14/$R$12</f>
        <v>0</v>
      </c>
      <c r="F14" s="206"/>
      <c r="G14" s="198" t="s">
        <v>43</v>
      </c>
      <c r="H14" s="18" t="s">
        <v>0</v>
      </c>
      <c r="I14" s="152">
        <f>D14*E14</f>
        <v>0</v>
      </c>
      <c r="J14" s="10">
        <f>I14*$J$6</f>
        <v>0</v>
      </c>
      <c r="K14" s="252"/>
      <c r="O14" s="61"/>
      <c r="P14" s="11"/>
      <c r="Q14" s="11"/>
      <c r="R14" s="62"/>
      <c r="S14" s="11"/>
      <c r="T14" s="67"/>
      <c r="U14" s="67"/>
    </row>
    <row r="15" spans="2:21" ht="24.75" customHeight="1" thickBot="1" x14ac:dyDescent="0.35">
      <c r="B15" s="23" t="s">
        <v>57</v>
      </c>
      <c r="C15" s="24"/>
      <c r="D15" s="25"/>
      <c r="E15" s="25"/>
      <c r="F15" s="25"/>
      <c r="G15" s="26"/>
      <c r="H15" s="27" t="s">
        <v>0</v>
      </c>
      <c r="I15" s="153">
        <f>SUM(I10:I14)</f>
        <v>4336.134453781513</v>
      </c>
      <c r="J15" s="59">
        <f>SUM(J10:J14)</f>
        <v>3902.5210084033615</v>
      </c>
      <c r="K15" s="252"/>
      <c r="M15" s="11"/>
      <c r="N15" s="11"/>
    </row>
    <row r="16" spans="2:21" ht="37.5" customHeight="1" x14ac:dyDescent="0.25">
      <c r="B16" s="53" t="s">
        <v>58</v>
      </c>
      <c r="C16" s="54"/>
      <c r="D16" s="55" t="s">
        <v>126</v>
      </c>
      <c r="E16" s="55" t="s">
        <v>179</v>
      </c>
      <c r="F16" s="56"/>
      <c r="G16" s="57" t="s">
        <v>17</v>
      </c>
      <c r="H16" s="58"/>
      <c r="I16" s="883" t="s">
        <v>161</v>
      </c>
      <c r="J16" s="884"/>
      <c r="K16" s="252"/>
      <c r="L16" s="900"/>
      <c r="M16" s="900"/>
      <c r="N16" s="900"/>
      <c r="O16" s="900"/>
      <c r="P16" s="900"/>
      <c r="Q16" s="900"/>
      <c r="R16" s="900"/>
    </row>
    <row r="17" spans="2:16" ht="21.2" hidden="1" customHeight="1" x14ac:dyDescent="0.25">
      <c r="B17" s="14" t="s">
        <v>6</v>
      </c>
      <c r="C17" s="52"/>
      <c r="D17" s="183" t="s">
        <v>124</v>
      </c>
      <c r="E17" s="139"/>
      <c r="F17" s="140"/>
      <c r="G17" s="141"/>
      <c r="H17" s="142" t="s">
        <v>0</v>
      </c>
      <c r="I17" s="154"/>
      <c r="J17" s="143"/>
      <c r="K17" s="252"/>
      <c r="M17" s="11"/>
    </row>
    <row r="18" spans="2:16" ht="21.2" customHeight="1" x14ac:dyDescent="0.25">
      <c r="B18" s="5"/>
      <c r="C18" s="6"/>
      <c r="D18" s="16" t="s">
        <v>37</v>
      </c>
      <c r="E18" s="17" t="s">
        <v>38</v>
      </c>
      <c r="F18" s="16" t="s">
        <v>39</v>
      </c>
      <c r="G18" s="69" t="s">
        <v>125</v>
      </c>
      <c r="H18" s="18" t="s">
        <v>0</v>
      </c>
      <c r="I18" s="155"/>
      <c r="J18" s="15"/>
      <c r="K18" s="252"/>
      <c r="M18" s="11"/>
    </row>
    <row r="19" spans="2:16" ht="21.2" customHeight="1" x14ac:dyDescent="0.25">
      <c r="B19" s="5" t="s">
        <v>18</v>
      </c>
      <c r="C19" s="28" t="s">
        <v>45</v>
      </c>
      <c r="D19" s="44">
        <v>1</v>
      </c>
      <c r="E19" s="35">
        <v>0.2</v>
      </c>
      <c r="F19" s="36">
        <v>365</v>
      </c>
      <c r="G19" s="562">
        <f t="shared" ref="G19:G26" si="0">D19*F19/100</f>
        <v>3.65</v>
      </c>
      <c r="H19" s="18" t="s">
        <v>0</v>
      </c>
      <c r="I19" s="156">
        <f t="shared" ref="I19:I25" si="1">D19*E19*F19</f>
        <v>73</v>
      </c>
      <c r="J19" s="9">
        <f>I19*$J$6</f>
        <v>65.7</v>
      </c>
      <c r="K19" s="252"/>
    </row>
    <row r="20" spans="2:16" ht="21.2" customHeight="1" x14ac:dyDescent="0.25">
      <c r="B20" s="5" t="s">
        <v>19</v>
      </c>
      <c r="C20" s="28" t="s">
        <v>46</v>
      </c>
      <c r="D20" s="44">
        <v>0.5</v>
      </c>
      <c r="E20" s="35">
        <v>0.3</v>
      </c>
      <c r="F20" s="36">
        <v>365</v>
      </c>
      <c r="G20" s="562">
        <f t="shared" si="0"/>
        <v>1.825</v>
      </c>
      <c r="H20" s="18" t="s">
        <v>0</v>
      </c>
      <c r="I20" s="156">
        <f t="shared" si="1"/>
        <v>54.75</v>
      </c>
      <c r="J20" s="9">
        <f t="shared" ref="J20:J27" si="2">I20*$J$6</f>
        <v>49.274999999999999</v>
      </c>
      <c r="K20" s="252"/>
      <c r="N20" s="1" t="s">
        <v>165</v>
      </c>
    </row>
    <row r="21" spans="2:16" ht="21.2" customHeight="1" x14ac:dyDescent="0.25">
      <c r="B21" s="5" t="s">
        <v>20</v>
      </c>
      <c r="C21" s="28" t="s">
        <v>50</v>
      </c>
      <c r="D21" s="44">
        <v>8</v>
      </c>
      <c r="E21" s="35">
        <v>0.15</v>
      </c>
      <c r="F21" s="36">
        <v>185</v>
      </c>
      <c r="G21" s="562">
        <f t="shared" si="0"/>
        <v>14.8</v>
      </c>
      <c r="H21" s="18" t="s">
        <v>0</v>
      </c>
      <c r="I21" s="156">
        <f t="shared" si="1"/>
        <v>222</v>
      </c>
      <c r="J21" s="9">
        <f t="shared" si="2"/>
        <v>199.8</v>
      </c>
      <c r="K21" s="252"/>
      <c r="N21" s="11" t="s">
        <v>60</v>
      </c>
    </row>
    <row r="22" spans="2:16" ht="21.2" customHeight="1" x14ac:dyDescent="0.25">
      <c r="B22" s="5" t="s">
        <v>21</v>
      </c>
      <c r="C22" s="28" t="s">
        <v>61</v>
      </c>
      <c r="D22" s="44">
        <v>7</v>
      </c>
      <c r="E22" s="35">
        <v>0.15</v>
      </c>
      <c r="F22" s="36">
        <v>180</v>
      </c>
      <c r="G22" s="562">
        <f t="shared" si="0"/>
        <v>12.6</v>
      </c>
      <c r="H22" s="18" t="s">
        <v>0</v>
      </c>
      <c r="I22" s="156">
        <f t="shared" si="1"/>
        <v>189</v>
      </c>
      <c r="J22" s="9">
        <f t="shared" si="2"/>
        <v>170.1</v>
      </c>
      <c r="K22" s="252"/>
      <c r="M22" s="11"/>
      <c r="N22" s="11"/>
    </row>
    <row r="23" spans="2:16" ht="21.2" customHeight="1" x14ac:dyDescent="0.25">
      <c r="B23" s="5" t="s">
        <v>22</v>
      </c>
      <c r="C23" s="28" t="s">
        <v>283</v>
      </c>
      <c r="D23" s="44">
        <v>7</v>
      </c>
      <c r="E23" s="35">
        <v>0.03</v>
      </c>
      <c r="F23" s="36">
        <v>185</v>
      </c>
      <c r="G23" s="562">
        <f t="shared" si="0"/>
        <v>12.95</v>
      </c>
      <c r="H23" s="18" t="s">
        <v>0</v>
      </c>
      <c r="I23" s="156">
        <f t="shared" si="1"/>
        <v>38.85</v>
      </c>
      <c r="J23" s="9">
        <f t="shared" si="2"/>
        <v>34.965000000000003</v>
      </c>
      <c r="K23" s="252"/>
      <c r="M23" s="11"/>
      <c r="N23" s="11"/>
    </row>
    <row r="24" spans="2:16" ht="21.2" customHeight="1" x14ac:dyDescent="0.25">
      <c r="B24" s="451" t="s">
        <v>35</v>
      </c>
      <c r="C24" s="452" t="s">
        <v>47</v>
      </c>
      <c r="D24" s="453">
        <v>4</v>
      </c>
      <c r="E24" s="454">
        <v>0.15</v>
      </c>
      <c r="F24" s="455">
        <v>180</v>
      </c>
      <c r="G24" s="563">
        <f t="shared" si="0"/>
        <v>7.2</v>
      </c>
      <c r="H24" s="457" t="s">
        <v>0</v>
      </c>
      <c r="I24" s="553">
        <f t="shared" si="1"/>
        <v>108</v>
      </c>
      <c r="J24" s="554">
        <f t="shared" si="2"/>
        <v>97.2</v>
      </c>
      <c r="K24" s="252" t="s">
        <v>228</v>
      </c>
      <c r="M24" s="11"/>
      <c r="N24" s="627">
        <f>SUM(I19:I24)</f>
        <v>685.6</v>
      </c>
      <c r="P24" s="616"/>
    </row>
    <row r="25" spans="2:16" ht="21.2" customHeight="1" x14ac:dyDescent="0.25">
      <c r="B25" s="14" t="s">
        <v>11</v>
      </c>
      <c r="C25" s="32" t="s">
        <v>42</v>
      </c>
      <c r="D25" s="99">
        <v>8</v>
      </c>
      <c r="E25" s="100">
        <v>0.08</v>
      </c>
      <c r="F25" s="38">
        <v>365</v>
      </c>
      <c r="G25" s="564">
        <f t="shared" si="0"/>
        <v>29.2</v>
      </c>
      <c r="H25" s="19" t="s">
        <v>0</v>
      </c>
      <c r="I25" s="152">
        <f t="shared" si="1"/>
        <v>233.6</v>
      </c>
      <c r="J25" s="10">
        <f t="shared" si="2"/>
        <v>210.24</v>
      </c>
      <c r="K25" s="252"/>
      <c r="M25" s="11"/>
      <c r="N25" s="626"/>
    </row>
    <row r="26" spans="2:16" ht="21.2" customHeight="1" x14ac:dyDescent="0.25">
      <c r="B26" s="5" t="s">
        <v>11</v>
      </c>
      <c r="C26" s="28"/>
      <c r="D26" s="99"/>
      <c r="E26" s="100"/>
      <c r="F26" s="36"/>
      <c r="G26" s="64">
        <f t="shared" si="0"/>
        <v>0</v>
      </c>
      <c r="H26" s="19" t="s">
        <v>0</v>
      </c>
      <c r="I26" s="156">
        <f>D26*E26*F26</f>
        <v>0</v>
      </c>
      <c r="J26" s="9">
        <f t="shared" si="2"/>
        <v>0</v>
      </c>
      <c r="K26" s="1" t="s">
        <v>315</v>
      </c>
      <c r="L26" s="2"/>
      <c r="M26" s="11"/>
      <c r="N26" s="626">
        <f>SUM(I25:I26)</f>
        <v>233.6</v>
      </c>
      <c r="P26" s="616"/>
    </row>
    <row r="27" spans="2:16" ht="21.2" customHeight="1" x14ac:dyDescent="0.25">
      <c r="B27" s="14" t="s">
        <v>10</v>
      </c>
      <c r="C27" s="37" t="s">
        <v>27</v>
      </c>
      <c r="D27" s="38">
        <v>100</v>
      </c>
      <c r="E27" s="618">
        <v>2</v>
      </c>
      <c r="F27" s="36">
        <v>365</v>
      </c>
      <c r="G27" s="617">
        <f>D27*F27/1000</f>
        <v>36.5</v>
      </c>
      <c r="H27" s="20" t="s">
        <v>0</v>
      </c>
      <c r="I27" s="152">
        <f>D27*E27*F27/1000</f>
        <v>73</v>
      </c>
      <c r="J27" s="9">
        <f t="shared" si="2"/>
        <v>65.7</v>
      </c>
      <c r="K27" s="252"/>
    </row>
    <row r="28" spans="2:16" ht="21.2" hidden="1" customHeight="1" x14ac:dyDescent="0.25">
      <c r="B28" s="5" t="s">
        <v>1</v>
      </c>
      <c r="C28" s="6"/>
      <c r="D28" s="105" t="s">
        <v>124</v>
      </c>
      <c r="E28" s="45"/>
      <c r="F28" s="47"/>
      <c r="G28" s="144"/>
      <c r="H28" s="145" t="s">
        <v>0</v>
      </c>
      <c r="I28" s="154"/>
      <c r="J28" s="143"/>
      <c r="K28" s="252"/>
    </row>
    <row r="29" spans="2:16" ht="21.2" customHeight="1" x14ac:dyDescent="0.25">
      <c r="B29" s="46"/>
      <c r="C29" s="47"/>
      <c r="D29" s="22" t="s">
        <v>23</v>
      </c>
      <c r="E29" s="22" t="s">
        <v>164</v>
      </c>
      <c r="F29" s="22" t="s">
        <v>24</v>
      </c>
      <c r="G29" s="169"/>
      <c r="H29" s="49"/>
      <c r="I29" s="157"/>
      <c r="J29" s="50"/>
      <c r="K29" s="252"/>
    </row>
    <row r="30" spans="2:16" ht="21.2" customHeight="1" x14ac:dyDescent="0.25">
      <c r="B30" s="5" t="s">
        <v>12</v>
      </c>
      <c r="C30" s="6" t="s">
        <v>16</v>
      </c>
      <c r="D30" s="36">
        <v>300</v>
      </c>
      <c r="E30" s="35">
        <v>0.25</v>
      </c>
      <c r="F30" s="65">
        <v>1</v>
      </c>
      <c r="G30" s="29"/>
      <c r="H30" s="18" t="s">
        <v>0</v>
      </c>
      <c r="I30" s="156">
        <f t="shared" ref="I30:I40" si="3">D30*E30*F30</f>
        <v>75</v>
      </c>
      <c r="J30" s="9">
        <f>I30*$J$6</f>
        <v>67.5</v>
      </c>
      <c r="K30" s="252"/>
    </row>
    <row r="31" spans="2:16" ht="21.2" customHeight="1" x14ac:dyDescent="0.25">
      <c r="B31" s="5" t="s">
        <v>8</v>
      </c>
      <c r="C31" s="6"/>
      <c r="D31" s="36"/>
      <c r="E31" s="39"/>
      <c r="F31" s="65">
        <f t="shared" ref="F31:F41" si="4">$F$30</f>
        <v>1</v>
      </c>
      <c r="G31" s="29"/>
      <c r="H31" s="18" t="s">
        <v>0</v>
      </c>
      <c r="I31" s="156">
        <f t="shared" si="3"/>
        <v>0</v>
      </c>
      <c r="J31" s="9">
        <f t="shared" ref="J31:J40" si="5">I31*$J$6</f>
        <v>0</v>
      </c>
      <c r="K31" s="252"/>
    </row>
    <row r="32" spans="2:16" ht="21.2" customHeight="1" x14ac:dyDescent="0.25">
      <c r="B32" s="5" t="s">
        <v>7</v>
      </c>
      <c r="C32" s="28"/>
      <c r="D32" s="34"/>
      <c r="E32" s="39"/>
      <c r="F32" s="65">
        <f t="shared" si="4"/>
        <v>1</v>
      </c>
      <c r="G32" s="29"/>
      <c r="H32" s="18" t="s">
        <v>0</v>
      </c>
      <c r="I32" s="156">
        <f t="shared" si="3"/>
        <v>0</v>
      </c>
      <c r="J32" s="9">
        <f t="shared" si="5"/>
        <v>0</v>
      </c>
      <c r="K32" s="252"/>
    </row>
    <row r="33" spans="2:17" ht="21.2" customHeight="1" x14ac:dyDescent="0.25">
      <c r="B33" s="5" t="s">
        <v>15</v>
      </c>
      <c r="C33" s="28" t="s">
        <v>174</v>
      </c>
      <c r="D33" s="34">
        <f>2*365/50</f>
        <v>14.6</v>
      </c>
      <c r="E33" s="39">
        <v>5</v>
      </c>
      <c r="F33" s="65">
        <f t="shared" si="4"/>
        <v>1</v>
      </c>
      <c r="G33" s="29" t="s">
        <v>51</v>
      </c>
      <c r="H33" s="18" t="s">
        <v>0</v>
      </c>
      <c r="I33" s="156">
        <f t="shared" si="3"/>
        <v>73</v>
      </c>
      <c r="J33" s="9">
        <f t="shared" si="5"/>
        <v>65.7</v>
      </c>
      <c r="K33" s="252"/>
    </row>
    <row r="34" spans="2:17" ht="21.2" customHeight="1" x14ac:dyDescent="0.25">
      <c r="B34" s="5" t="s">
        <v>9</v>
      </c>
      <c r="C34" s="28"/>
      <c r="D34" s="34">
        <v>1</v>
      </c>
      <c r="E34" s="39">
        <v>50</v>
      </c>
      <c r="F34" s="65">
        <f t="shared" si="4"/>
        <v>1</v>
      </c>
      <c r="G34" s="29"/>
      <c r="H34" s="18" t="s">
        <v>0</v>
      </c>
      <c r="I34" s="156">
        <f t="shared" si="3"/>
        <v>50</v>
      </c>
      <c r="J34" s="9">
        <f t="shared" si="5"/>
        <v>45</v>
      </c>
      <c r="K34" s="252"/>
    </row>
    <row r="35" spans="2:17" ht="21.2" customHeight="1" x14ac:dyDescent="0.25">
      <c r="B35" s="5" t="s">
        <v>163</v>
      </c>
      <c r="C35" s="28"/>
      <c r="D35" s="34"/>
      <c r="E35" s="39"/>
      <c r="F35" s="65">
        <f t="shared" si="4"/>
        <v>1</v>
      </c>
      <c r="G35" s="29"/>
      <c r="H35" s="18" t="s">
        <v>0</v>
      </c>
      <c r="I35" s="156">
        <f t="shared" si="3"/>
        <v>0</v>
      </c>
      <c r="J35" s="9">
        <f t="shared" si="5"/>
        <v>0</v>
      </c>
      <c r="K35" s="252"/>
    </row>
    <row r="36" spans="2:17" ht="21.2" customHeight="1" x14ac:dyDescent="0.25">
      <c r="B36" s="5" t="s">
        <v>13</v>
      </c>
      <c r="C36" s="28"/>
      <c r="D36" s="34">
        <v>1</v>
      </c>
      <c r="E36" s="39">
        <v>40</v>
      </c>
      <c r="F36" s="65">
        <f t="shared" si="4"/>
        <v>1</v>
      </c>
      <c r="G36" s="29"/>
      <c r="H36" s="18" t="s">
        <v>0</v>
      </c>
      <c r="I36" s="156">
        <f t="shared" si="3"/>
        <v>40</v>
      </c>
      <c r="J36" s="9">
        <f t="shared" si="5"/>
        <v>36</v>
      </c>
      <c r="K36" s="252"/>
      <c r="N36" s="1" t="s">
        <v>26</v>
      </c>
    </row>
    <row r="37" spans="2:17" ht="21.2" customHeight="1" x14ac:dyDescent="0.25">
      <c r="B37" s="5" t="s">
        <v>14</v>
      </c>
      <c r="C37" s="28"/>
      <c r="D37" s="34">
        <v>1</v>
      </c>
      <c r="E37" s="39">
        <v>5</v>
      </c>
      <c r="F37" s="65">
        <f t="shared" si="4"/>
        <v>1</v>
      </c>
      <c r="G37" s="29"/>
      <c r="H37" s="18" t="s">
        <v>0</v>
      </c>
      <c r="I37" s="156">
        <f t="shared" si="3"/>
        <v>5</v>
      </c>
      <c r="J37" s="9">
        <f t="shared" si="5"/>
        <v>4.5</v>
      </c>
      <c r="K37" s="252"/>
    </row>
    <row r="38" spans="2:17" ht="21.2" customHeight="1" x14ac:dyDescent="0.25">
      <c r="B38" s="5" t="s">
        <v>33</v>
      </c>
      <c r="C38" s="28"/>
      <c r="D38" s="34"/>
      <c r="E38" s="39"/>
      <c r="F38" s="65">
        <f t="shared" si="4"/>
        <v>1</v>
      </c>
      <c r="G38" s="29"/>
      <c r="H38" s="18" t="s">
        <v>0</v>
      </c>
      <c r="I38" s="156">
        <f t="shared" si="3"/>
        <v>0</v>
      </c>
      <c r="J38" s="9">
        <f t="shared" si="5"/>
        <v>0</v>
      </c>
      <c r="K38" s="252"/>
    </row>
    <row r="39" spans="2:17" ht="21.2" customHeight="1" x14ac:dyDescent="0.25">
      <c r="B39" s="7" t="s">
        <v>2</v>
      </c>
      <c r="C39" s="30"/>
      <c r="D39" s="34"/>
      <c r="E39" s="39"/>
      <c r="F39" s="65">
        <f t="shared" si="4"/>
        <v>1</v>
      </c>
      <c r="G39" s="31"/>
      <c r="H39" s="18" t="s">
        <v>0</v>
      </c>
      <c r="I39" s="156">
        <f t="shared" si="3"/>
        <v>0</v>
      </c>
      <c r="J39" s="9">
        <f t="shared" si="5"/>
        <v>0</v>
      </c>
      <c r="K39" s="252"/>
      <c r="M39" s="11"/>
    </row>
    <row r="40" spans="2:17" ht="21.2" customHeight="1" x14ac:dyDescent="0.25">
      <c r="B40" s="193" t="s">
        <v>2</v>
      </c>
      <c r="C40" s="194"/>
      <c r="D40" s="34"/>
      <c r="E40" s="39"/>
      <c r="F40" s="65">
        <f t="shared" si="4"/>
        <v>1</v>
      </c>
      <c r="G40" s="31"/>
      <c r="H40" s="18" t="s">
        <v>0</v>
      </c>
      <c r="I40" s="156">
        <f t="shared" si="3"/>
        <v>0</v>
      </c>
      <c r="J40" s="9">
        <f t="shared" si="5"/>
        <v>0</v>
      </c>
      <c r="K40" s="252"/>
      <c r="M40" s="11"/>
    </row>
    <row r="41" spans="2:17" ht="21.2" customHeight="1" x14ac:dyDescent="0.25">
      <c r="B41" s="193" t="s">
        <v>2</v>
      </c>
      <c r="C41" s="194"/>
      <c r="D41" s="34"/>
      <c r="E41" s="39"/>
      <c r="F41" s="65">
        <f t="shared" si="4"/>
        <v>1</v>
      </c>
      <c r="G41" s="31"/>
      <c r="H41" s="18" t="s">
        <v>0</v>
      </c>
      <c r="I41" s="156">
        <f>D41*E41*F41</f>
        <v>0</v>
      </c>
      <c r="J41" s="9">
        <f>I41*$J$6</f>
        <v>0</v>
      </c>
      <c r="K41" s="252"/>
      <c r="M41" s="11"/>
    </row>
    <row r="42" spans="2:17" ht="24.75" customHeight="1" thickBot="1" x14ac:dyDescent="0.35">
      <c r="B42" s="885" t="s">
        <v>62</v>
      </c>
      <c r="C42" s="886"/>
      <c r="D42" s="886"/>
      <c r="E42" s="886"/>
      <c r="F42" s="886"/>
      <c r="G42" s="887"/>
      <c r="H42" s="21" t="s">
        <v>0</v>
      </c>
      <c r="I42" s="158">
        <f>SUM(I17:I41)</f>
        <v>1235.2</v>
      </c>
      <c r="J42" s="104">
        <f>SUM(J17:J40)</f>
        <v>1111.68</v>
      </c>
      <c r="K42" s="253"/>
      <c r="M42" s="11"/>
    </row>
    <row r="43" spans="2:17" ht="28.5" customHeight="1" thickTop="1" thickBot="1" x14ac:dyDescent="0.4">
      <c r="B43" s="73" t="s">
        <v>127</v>
      </c>
      <c r="C43" s="74"/>
      <c r="D43" s="70"/>
      <c r="E43" s="70"/>
      <c r="F43" s="70"/>
      <c r="G43" s="70"/>
      <c r="H43" s="71" t="s">
        <v>0</v>
      </c>
      <c r="I43" s="159">
        <f>I15-I42</f>
        <v>3100.9344537815132</v>
      </c>
      <c r="J43" s="72">
        <f>J15-J42</f>
        <v>2790.8410084033612</v>
      </c>
      <c r="K43" s="254"/>
      <c r="L43" s="13"/>
      <c r="M43" s="8"/>
      <c r="N43" s="276" t="s">
        <v>291</v>
      </c>
    </row>
    <row r="44" spans="2:17" ht="23.25" customHeight="1" x14ac:dyDescent="0.25">
      <c r="B44" s="888" t="s">
        <v>56</v>
      </c>
      <c r="C44" s="889"/>
      <c r="D44" s="82">
        <v>120</v>
      </c>
      <c r="E44" s="76" t="s">
        <v>63</v>
      </c>
      <c r="F44" s="96">
        <v>16</v>
      </c>
      <c r="G44" s="93" t="s">
        <v>48</v>
      </c>
      <c r="H44" s="77" t="s">
        <v>0</v>
      </c>
      <c r="I44" s="160">
        <f>D44*F44</f>
        <v>1920</v>
      </c>
      <c r="J44" s="78">
        <f>I44*$J$6</f>
        <v>1728</v>
      </c>
      <c r="K44" s="255"/>
      <c r="L44" s="13"/>
      <c r="M44" s="8"/>
      <c r="N44" s="546" t="s">
        <v>279</v>
      </c>
      <c r="O44" s="857" t="s">
        <v>280</v>
      </c>
      <c r="P44" s="857"/>
      <c r="Q44" s="547" t="s">
        <v>281</v>
      </c>
    </row>
    <row r="45" spans="2:17" ht="23.25" customHeight="1" x14ac:dyDescent="0.25">
      <c r="B45" s="890" t="s">
        <v>52</v>
      </c>
      <c r="C45" s="891"/>
      <c r="D45" s="488">
        <v>6000</v>
      </c>
      <c r="E45" s="79" t="s">
        <v>255</v>
      </c>
      <c r="F45" s="549">
        <f>SUM(N45:Q45)*100</f>
        <v>6.0000000000000009</v>
      </c>
      <c r="G45" s="94" t="s">
        <v>254</v>
      </c>
      <c r="H45" s="80" t="s">
        <v>0</v>
      </c>
      <c r="I45" s="161">
        <f>D45*F45/100</f>
        <v>360.00000000000006</v>
      </c>
      <c r="J45" s="81">
        <f>I45</f>
        <v>360.00000000000006</v>
      </c>
      <c r="K45" s="255"/>
      <c r="L45" s="13"/>
      <c r="M45" s="225" t="s">
        <v>318</v>
      </c>
      <c r="N45" s="577">
        <v>0.03</v>
      </c>
      <c r="O45" s="925">
        <v>0.02</v>
      </c>
      <c r="P45" s="926"/>
      <c r="Q45" s="577">
        <v>0.01</v>
      </c>
    </row>
    <row r="46" spans="2:17" ht="23.25" customHeight="1" x14ac:dyDescent="0.25">
      <c r="B46" s="890" t="s">
        <v>53</v>
      </c>
      <c r="C46" s="891"/>
      <c r="D46" s="488">
        <v>5000</v>
      </c>
      <c r="E46" s="79" t="s">
        <v>255</v>
      </c>
      <c r="F46" s="549">
        <f>SUM(N46:Q46)*100</f>
        <v>6.5</v>
      </c>
      <c r="G46" s="94" t="s">
        <v>254</v>
      </c>
      <c r="H46" s="80" t="s">
        <v>0</v>
      </c>
      <c r="I46" s="161">
        <f>D46*F46/100</f>
        <v>325</v>
      </c>
      <c r="J46" s="81">
        <f>I46</f>
        <v>325</v>
      </c>
      <c r="K46" s="255"/>
      <c r="L46" s="13"/>
      <c r="M46" s="225" t="s">
        <v>319</v>
      </c>
      <c r="N46" s="577">
        <v>2.5000000000000001E-2</v>
      </c>
      <c r="O46" s="925">
        <v>0.02</v>
      </c>
      <c r="P46" s="926"/>
      <c r="Q46" s="577">
        <v>0.02</v>
      </c>
    </row>
    <row r="47" spans="2:17" ht="23.25" customHeight="1" x14ac:dyDescent="0.25">
      <c r="B47" s="890" t="s">
        <v>135</v>
      </c>
      <c r="C47" s="891"/>
      <c r="D47" s="488">
        <v>1000</v>
      </c>
      <c r="E47" s="79" t="s">
        <v>255</v>
      </c>
      <c r="F47" s="549">
        <f>SUM(N47:Q47)*100</f>
        <v>10</v>
      </c>
      <c r="G47" s="94" t="s">
        <v>254</v>
      </c>
      <c r="H47" s="80" t="s">
        <v>0</v>
      </c>
      <c r="I47" s="161">
        <f>D47*F47/100</f>
        <v>100</v>
      </c>
      <c r="J47" s="81">
        <f>I47</f>
        <v>100</v>
      </c>
      <c r="K47" s="255"/>
      <c r="L47" s="13"/>
      <c r="M47" s="225" t="s">
        <v>320</v>
      </c>
      <c r="N47" s="577">
        <v>0.08</v>
      </c>
      <c r="O47" s="925">
        <v>0.02</v>
      </c>
      <c r="P47" s="926"/>
      <c r="Q47" s="619"/>
    </row>
    <row r="48" spans="2:17" ht="23.25" customHeight="1" x14ac:dyDescent="0.25">
      <c r="B48" s="890" t="s">
        <v>391</v>
      </c>
      <c r="C48" s="891"/>
      <c r="D48" s="630">
        <v>0.1</v>
      </c>
      <c r="E48" s="79" t="s">
        <v>64</v>
      </c>
      <c r="F48" s="97">
        <v>200</v>
      </c>
      <c r="G48" s="94" t="s">
        <v>34</v>
      </c>
      <c r="H48" s="80" t="s">
        <v>0</v>
      </c>
      <c r="I48" s="161">
        <f>D48*F48</f>
        <v>20</v>
      </c>
      <c r="J48" s="81">
        <f>I48</f>
        <v>20</v>
      </c>
      <c r="K48" s="255"/>
      <c r="L48" s="13"/>
      <c r="M48" s="8"/>
      <c r="N48" s="43"/>
    </row>
    <row r="49" spans="2:20" ht="23.25" customHeight="1" x14ac:dyDescent="0.25">
      <c r="B49" s="898" t="s">
        <v>137</v>
      </c>
      <c r="C49" s="899"/>
      <c r="D49" s="488">
        <v>20000</v>
      </c>
      <c r="E49" s="79" t="s">
        <v>256</v>
      </c>
      <c r="F49" s="488">
        <v>250</v>
      </c>
      <c r="G49" s="95" t="s">
        <v>257</v>
      </c>
      <c r="H49" s="19" t="s">
        <v>0</v>
      </c>
      <c r="I49" s="162">
        <f>F49</f>
        <v>250</v>
      </c>
      <c r="J49" s="81">
        <f>I49</f>
        <v>250</v>
      </c>
      <c r="K49" s="255"/>
      <c r="L49" s="13"/>
      <c r="M49" s="8"/>
      <c r="N49" s="43"/>
    </row>
    <row r="50" spans="2:20" ht="23.25" customHeight="1" thickBot="1" x14ac:dyDescent="0.35">
      <c r="B50" s="892" t="s">
        <v>65</v>
      </c>
      <c r="C50" s="893"/>
      <c r="D50" s="893"/>
      <c r="E50" s="893"/>
      <c r="F50" s="893"/>
      <c r="G50" s="894"/>
      <c r="H50" s="770" t="s">
        <v>0</v>
      </c>
      <c r="I50" s="772">
        <f>SUM(I44:I49)</f>
        <v>2975</v>
      </c>
      <c r="J50" s="88">
        <f>SUM(J44:J49)</f>
        <v>2783</v>
      </c>
      <c r="L50" s="256"/>
      <c r="M50" s="252"/>
      <c r="N50" s="257"/>
      <c r="O50" s="4"/>
      <c r="P50" s="4"/>
      <c r="Q50" s="4"/>
      <c r="R50" s="4"/>
      <c r="S50" s="4"/>
      <c r="T50" s="4"/>
    </row>
    <row r="51" spans="2:20" ht="23.25" customHeight="1" thickBot="1" x14ac:dyDescent="0.35">
      <c r="B51" s="764" t="s">
        <v>379</v>
      </c>
      <c r="C51" s="765"/>
      <c r="D51" s="765"/>
      <c r="E51" s="765"/>
      <c r="F51" s="765"/>
      <c r="G51" s="766"/>
      <c r="H51" s="767"/>
      <c r="I51" s="769">
        <f>I42+I50</f>
        <v>4210.2</v>
      </c>
      <c r="J51" s="768">
        <f>J42+J50</f>
        <v>3894.6800000000003</v>
      </c>
      <c r="L51" s="256"/>
      <c r="M51" s="252"/>
      <c r="N51" s="257"/>
      <c r="O51" s="4"/>
      <c r="P51" s="4"/>
      <c r="Q51" s="4"/>
      <c r="R51" s="4"/>
      <c r="S51" s="4"/>
      <c r="T51" s="4"/>
    </row>
    <row r="52" spans="2:20" ht="25.5" customHeight="1" thickTop="1" x14ac:dyDescent="0.3">
      <c r="B52" s="918" t="s">
        <v>410</v>
      </c>
      <c r="C52" s="919"/>
      <c r="D52" s="919"/>
      <c r="E52" s="919"/>
      <c r="F52" s="919"/>
      <c r="G52" s="920"/>
      <c r="H52" s="149" t="s">
        <v>0</v>
      </c>
      <c r="I52" s="210">
        <f>I15-I51</f>
        <v>125.93445378151318</v>
      </c>
      <c r="J52" s="211">
        <f>J15-J51</f>
        <v>7.8410084033612293</v>
      </c>
      <c r="L52" s="916" t="s">
        <v>213</v>
      </c>
      <c r="M52" s="917"/>
      <c r="N52" s="917"/>
      <c r="O52" s="917"/>
      <c r="P52" s="917"/>
      <c r="Q52" s="917"/>
      <c r="R52" s="917"/>
      <c r="S52" s="917"/>
      <c r="T52" s="917"/>
    </row>
    <row r="53" spans="2:20" ht="25.5" customHeight="1" x14ac:dyDescent="0.3">
      <c r="B53" s="212" t="s">
        <v>191</v>
      </c>
      <c r="C53" s="213"/>
      <c r="D53" s="213"/>
      <c r="E53" s="213"/>
      <c r="F53" s="213"/>
      <c r="G53" s="213" t="s">
        <v>154</v>
      </c>
      <c r="H53" s="214" t="s">
        <v>0</v>
      </c>
      <c r="I53" s="215">
        <f>I52+I44</f>
        <v>2045.9344537815132</v>
      </c>
      <c r="J53" s="216">
        <f>(J52+J44)</f>
        <v>1735.8410084033612</v>
      </c>
      <c r="L53" s="917"/>
      <c r="M53" s="917"/>
      <c r="N53" s="917"/>
      <c r="O53" s="917"/>
      <c r="P53" s="917"/>
      <c r="Q53" s="917"/>
      <c r="R53" s="917"/>
      <c r="S53" s="917"/>
      <c r="T53" s="917"/>
    </row>
    <row r="54" spans="2:20" ht="25.5" customHeight="1" thickBot="1" x14ac:dyDescent="0.35">
      <c r="B54" s="207"/>
      <c r="C54" s="208"/>
      <c r="D54" s="208"/>
      <c r="E54" s="208"/>
      <c r="F54" s="208"/>
      <c r="G54" s="208" t="s">
        <v>192</v>
      </c>
      <c r="H54" s="209" t="s">
        <v>0</v>
      </c>
      <c r="I54" s="249">
        <f>I53/D44</f>
        <v>17.049453781512611</v>
      </c>
      <c r="J54" s="228">
        <f>J53/D44/J6</f>
        <v>16.072601929660753</v>
      </c>
      <c r="L54" s="917"/>
      <c r="M54" s="917"/>
      <c r="N54" s="917"/>
      <c r="O54" s="917"/>
      <c r="P54" s="917"/>
      <c r="Q54" s="917"/>
      <c r="R54" s="917"/>
      <c r="S54" s="917"/>
      <c r="T54" s="917"/>
    </row>
    <row r="55" spans="2:20" ht="29.25" customHeight="1" thickTop="1" x14ac:dyDescent="0.4">
      <c r="B55" s="178" t="s">
        <v>153</v>
      </c>
      <c r="C55" s="171"/>
      <c r="D55" s="171"/>
      <c r="E55" s="171"/>
      <c r="F55" s="171"/>
      <c r="G55" s="172" t="s">
        <v>49</v>
      </c>
      <c r="H55" s="150" t="s">
        <v>0</v>
      </c>
      <c r="I55" s="163">
        <f>(I42+I50-I11-I12-I13-I14)/D10</f>
        <v>300.42983193277308</v>
      </c>
      <c r="J55" s="151">
        <f>(J42+J50-J11-J12-J13-J14)/(D10*J6)</f>
        <v>310.19835045129162</v>
      </c>
      <c r="L55" s="13"/>
      <c r="M55" s="8"/>
      <c r="N55" s="43"/>
    </row>
    <row r="56" spans="2:20" ht="29.25" customHeight="1" thickBot="1" x14ac:dyDescent="0.45">
      <c r="B56" s="179" t="s">
        <v>311</v>
      </c>
      <c r="C56" s="170"/>
      <c r="D56" s="170"/>
      <c r="E56" s="170"/>
      <c r="F56" s="170"/>
      <c r="G56" s="180" t="s">
        <v>43</v>
      </c>
      <c r="H56" s="168" t="s">
        <v>0</v>
      </c>
      <c r="I56" s="175">
        <f>I55*$R$12</f>
        <v>357.51149999999996</v>
      </c>
      <c r="J56" s="176">
        <f>J55*$R$12</f>
        <v>369.136037037037</v>
      </c>
    </row>
    <row r="58" spans="2:20" x14ac:dyDescent="0.25">
      <c r="F58" s="11"/>
      <c r="G58" s="1"/>
    </row>
  </sheetData>
  <sheetProtection sheet="1" objects="1" scenarios="1"/>
  <mergeCells count="26">
    <mergeCell ref="B48:C48"/>
    <mergeCell ref="B49:C49"/>
    <mergeCell ref="B3:C3"/>
    <mergeCell ref="D3:E3"/>
    <mergeCell ref="L52:T54"/>
    <mergeCell ref="B50:G50"/>
    <mergeCell ref="B52:G52"/>
    <mergeCell ref="B45:C45"/>
    <mergeCell ref="B47:C47"/>
    <mergeCell ref="B4:C5"/>
    <mergeCell ref="M3:Q3"/>
    <mergeCell ref="B46:C46"/>
    <mergeCell ref="O45:P45"/>
    <mergeCell ref="O46:P46"/>
    <mergeCell ref="O47:P47"/>
    <mergeCell ref="O44:P44"/>
    <mergeCell ref="B44:C44"/>
    <mergeCell ref="D4:D6"/>
    <mergeCell ref="E4:E6"/>
    <mergeCell ref="F5:J5"/>
    <mergeCell ref="B42:G42"/>
    <mergeCell ref="L16:R16"/>
    <mergeCell ref="I16:J16"/>
    <mergeCell ref="B2:J2"/>
    <mergeCell ref="F4:J4"/>
    <mergeCell ref="F6:G6"/>
  </mergeCells>
  <phoneticPr fontId="0" type="noConversion"/>
  <printOptions headings="1"/>
  <pageMargins left="0.51181102362204722" right="0.51181102362204722" top="0.39370078740157483" bottom="0.39370078740157483" header="0.31496062992125984" footer="0.31496062992125984"/>
  <pageSetup paperSize="9" scale="65" orientation="portrait" verticalDpi="1200" r:id="rId1"/>
  <headerFooter>
    <oddFooter>&amp;L&amp;F&amp;C&amp;A&amp;R&amp;D</oddFooter>
  </headerFooter>
  <rowBreaks count="1" manualBreakCount="1">
    <brk id="55"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57"/>
  <sheetViews>
    <sheetView showGridLines="0" showZeros="0" topLeftCell="A3" zoomScale="75" zoomScaleNormal="75" zoomScaleSheetLayoutView="75" workbookViewId="0">
      <selection activeCell="D38" sqref="D38"/>
    </sheetView>
  </sheetViews>
  <sheetFormatPr baseColWidth="10" defaultColWidth="11.28515625" defaultRowHeight="18" x14ac:dyDescent="0.25"/>
  <cols>
    <col min="1" max="1" width="1.85546875" style="276" customWidth="1"/>
    <col min="2" max="2" width="26" style="276" customWidth="1"/>
    <col min="3" max="3" width="26.28515625" style="276" customWidth="1"/>
    <col min="4" max="4" width="12.28515625" style="276" customWidth="1"/>
    <col min="5" max="5" width="20.85546875" style="276" customWidth="1"/>
    <col min="6" max="6" width="12.28515625" style="276" customWidth="1"/>
    <col min="7" max="7" width="24.140625" style="277" customWidth="1"/>
    <col min="8" max="8" width="5.28515625" style="276" customWidth="1"/>
    <col min="9" max="9" width="14.28515625" style="276" customWidth="1"/>
    <col min="10" max="10" width="4.85546875" style="276" customWidth="1"/>
    <col min="11" max="11" width="2.7109375" style="276" customWidth="1"/>
    <col min="12" max="12" width="13.28515625" style="276" customWidth="1"/>
    <col min="13" max="13" width="9.7109375" style="276" customWidth="1"/>
    <col min="14" max="14" width="11.28515625" style="276" customWidth="1"/>
    <col min="15" max="15" width="20.28515625" style="276" customWidth="1"/>
    <col min="16" max="16" width="6" style="276" customWidth="1"/>
    <col min="17" max="17" width="16.140625" style="276" customWidth="1"/>
    <col min="18" max="18" width="13.28515625" style="276" customWidth="1"/>
    <col min="19" max="19" width="10.85546875" style="276" customWidth="1"/>
    <col min="20" max="33" width="11.28515625" style="276" customWidth="1"/>
    <col min="34" max="16384" width="11.28515625" style="276"/>
  </cols>
  <sheetData>
    <row r="1" spans="2:19" ht="5.25" customHeight="1" thickBot="1" x14ac:dyDescent="0.3"/>
    <row r="2" spans="2:19" ht="36" customHeight="1" thickBot="1" x14ac:dyDescent="0.3">
      <c r="B2" s="927" t="s">
        <v>66</v>
      </c>
      <c r="C2" s="928"/>
      <c r="D2" s="928"/>
      <c r="E2" s="928"/>
      <c r="F2" s="928"/>
      <c r="G2" s="928"/>
      <c r="H2" s="928"/>
      <c r="I2" s="929"/>
    </row>
    <row r="3" spans="2:19" ht="42" customHeight="1" x14ac:dyDescent="0.25">
      <c r="B3" s="930" t="s">
        <v>59</v>
      </c>
      <c r="C3" s="931"/>
      <c r="D3" s="932" t="s">
        <v>178</v>
      </c>
      <c r="E3" s="933"/>
      <c r="F3" s="278" t="s">
        <v>177</v>
      </c>
      <c r="G3" s="279" t="s">
        <v>175</v>
      </c>
      <c r="H3" s="280"/>
      <c r="I3" s="279" t="s">
        <v>176</v>
      </c>
      <c r="J3" s="281"/>
      <c r="K3" s="282" t="s">
        <v>189</v>
      </c>
    </row>
    <row r="4" spans="2:19" ht="22.7" customHeight="1" x14ac:dyDescent="0.25">
      <c r="B4" s="934"/>
      <c r="C4" s="935"/>
      <c r="D4" s="938" t="s">
        <v>23</v>
      </c>
      <c r="E4" s="959" t="s">
        <v>180</v>
      </c>
      <c r="F4" s="940" t="s">
        <v>4</v>
      </c>
      <c r="G4" s="941"/>
      <c r="H4" s="941"/>
      <c r="I4" s="942"/>
      <c r="L4" s="277"/>
      <c r="M4" s="277"/>
      <c r="N4" s="277"/>
      <c r="O4" s="277"/>
      <c r="P4" s="277"/>
      <c r="Q4" s="277"/>
    </row>
    <row r="5" spans="2:19" ht="83.25" customHeight="1" x14ac:dyDescent="0.25">
      <c r="B5" s="936"/>
      <c r="C5" s="937"/>
      <c r="D5" s="939"/>
      <c r="E5" s="960"/>
      <c r="F5" s="943" t="s">
        <v>262</v>
      </c>
      <c r="G5" s="944"/>
      <c r="H5" s="944"/>
      <c r="I5" s="945"/>
      <c r="K5" s="947" t="s">
        <v>241</v>
      </c>
      <c r="L5" s="947"/>
      <c r="M5" s="947"/>
      <c r="N5" s="946" t="s">
        <v>188</v>
      </c>
      <c r="O5" s="946"/>
      <c r="P5" s="277"/>
      <c r="Q5" s="277"/>
    </row>
    <row r="6" spans="2:19" ht="24" customHeight="1" x14ac:dyDescent="0.25">
      <c r="B6" s="954" t="s">
        <v>157</v>
      </c>
      <c r="C6" s="955"/>
      <c r="D6" s="955"/>
      <c r="E6" s="956"/>
      <c r="F6" s="542">
        <v>10</v>
      </c>
      <c r="G6" s="543" t="s">
        <v>24</v>
      </c>
      <c r="H6" s="940" t="s">
        <v>160</v>
      </c>
      <c r="I6" s="942"/>
      <c r="K6" s="282"/>
      <c r="L6" s="277"/>
      <c r="M6" s="277"/>
      <c r="N6" s="277"/>
      <c r="O6" s="277"/>
      <c r="P6" s="277"/>
      <c r="Q6" s="277"/>
    </row>
    <row r="7" spans="2:19" ht="24" hidden="1" customHeight="1" x14ac:dyDescent="0.25">
      <c r="B7" s="537"/>
      <c r="C7" s="538"/>
      <c r="D7" s="538"/>
      <c r="E7" s="539"/>
      <c r="F7" s="495"/>
      <c r="G7" s="496"/>
      <c r="H7" s="540"/>
      <c r="I7" s="541"/>
      <c r="K7" s="282"/>
      <c r="L7" s="277"/>
      <c r="M7" s="277"/>
      <c r="N7" s="277"/>
      <c r="O7" s="277"/>
      <c r="P7" s="277"/>
      <c r="Q7" s="277"/>
    </row>
    <row r="8" spans="2:19" ht="24" hidden="1" customHeight="1" x14ac:dyDescent="0.25">
      <c r="B8" s="520"/>
      <c r="C8" s="521"/>
      <c r="D8" s="521"/>
      <c r="E8" s="522"/>
      <c r="F8" s="495"/>
      <c r="G8" s="496"/>
      <c r="H8" s="523"/>
      <c r="I8" s="524"/>
      <c r="K8" s="282"/>
      <c r="L8" s="277"/>
      <c r="M8" s="277"/>
      <c r="N8" s="277"/>
      <c r="O8" s="277"/>
      <c r="P8" s="277"/>
      <c r="Q8" s="277"/>
    </row>
    <row r="9" spans="2:19" ht="24" hidden="1" customHeight="1" thickBot="1" x14ac:dyDescent="0.3">
      <c r="B9" s="467"/>
      <c r="C9" s="468"/>
      <c r="D9" s="468"/>
      <c r="E9" s="469"/>
      <c r="F9" s="525" t="s">
        <v>221</v>
      </c>
      <c r="G9" s="526" t="s">
        <v>17</v>
      </c>
      <c r="H9" s="470"/>
      <c r="I9" s="471"/>
      <c r="K9" s="282"/>
      <c r="L9" s="277"/>
      <c r="M9" s="277"/>
      <c r="N9" s="277"/>
      <c r="O9" s="277"/>
      <c r="P9" s="277"/>
      <c r="Q9" s="277"/>
    </row>
    <row r="10" spans="2:19" ht="21.2" customHeight="1" x14ac:dyDescent="0.25">
      <c r="B10" s="283" t="s">
        <v>3</v>
      </c>
      <c r="C10" s="284" t="s">
        <v>224</v>
      </c>
      <c r="D10" s="285">
        <v>400</v>
      </c>
      <c r="E10" s="286">
        <f>F10/$N$12</f>
        <v>11.764705882352942</v>
      </c>
      <c r="F10" s="515">
        <v>14</v>
      </c>
      <c r="G10" s="514">
        <v>4</v>
      </c>
      <c r="H10" s="287" t="s">
        <v>0</v>
      </c>
      <c r="I10" s="288">
        <f>D10*E10</f>
        <v>4705.8823529411766</v>
      </c>
      <c r="K10" s="289"/>
      <c r="L10" s="277"/>
      <c r="M10" s="277"/>
      <c r="N10" s="277"/>
      <c r="O10" s="277"/>
      <c r="P10" s="277"/>
      <c r="Q10" s="277"/>
    </row>
    <row r="11" spans="2:19" ht="21.2" customHeight="1" x14ac:dyDescent="0.25">
      <c r="B11" s="290" t="s">
        <v>5</v>
      </c>
      <c r="C11" s="284" t="s">
        <v>225</v>
      </c>
      <c r="D11" s="292">
        <v>100</v>
      </c>
      <c r="E11" s="286">
        <f>F11/$N$12</f>
        <v>13.445378151260504</v>
      </c>
      <c r="F11" s="515">
        <v>16</v>
      </c>
      <c r="G11" s="514">
        <v>6</v>
      </c>
      <c r="H11" s="293" t="s">
        <v>0</v>
      </c>
      <c r="I11" s="288">
        <f>D11*E11</f>
        <v>1344.5378151260504</v>
      </c>
      <c r="K11" s="277"/>
      <c r="L11" s="277"/>
      <c r="M11" s="294" t="s">
        <v>185</v>
      </c>
      <c r="N11" s="295" t="s">
        <v>182</v>
      </c>
      <c r="O11" s="277"/>
      <c r="P11" s="277"/>
      <c r="Q11" s="277"/>
    </row>
    <row r="12" spans="2:19" ht="21.2" customHeight="1" x14ac:dyDescent="0.25">
      <c r="B12" s="290" t="s">
        <v>5</v>
      </c>
      <c r="C12" s="291" t="s">
        <v>67</v>
      </c>
      <c r="D12" s="292">
        <v>6</v>
      </c>
      <c r="E12" s="286">
        <f>F12/$N$12</f>
        <v>33.613445378151262</v>
      </c>
      <c r="F12" s="515">
        <v>40</v>
      </c>
      <c r="G12" s="514">
        <v>2</v>
      </c>
      <c r="H12" s="293" t="s">
        <v>0</v>
      </c>
      <c r="I12" s="288">
        <f>D12*E12</f>
        <v>201.68067226890759</v>
      </c>
      <c r="K12" s="277"/>
      <c r="L12" s="277"/>
      <c r="M12" s="296">
        <v>0.19</v>
      </c>
      <c r="N12" s="297">
        <f>1+M12</f>
        <v>1.19</v>
      </c>
      <c r="O12" s="277"/>
      <c r="Q12" s="277"/>
    </row>
    <row r="13" spans="2:19" ht="21.2" customHeight="1" x14ac:dyDescent="0.25">
      <c r="B13" s="290" t="s">
        <v>5</v>
      </c>
      <c r="C13" s="291" t="s">
        <v>233</v>
      </c>
      <c r="D13" s="292">
        <v>6</v>
      </c>
      <c r="E13" s="286">
        <f>F13</f>
        <v>400</v>
      </c>
      <c r="F13" s="515">
        <v>400</v>
      </c>
      <c r="G13" s="514" t="s">
        <v>261</v>
      </c>
      <c r="H13" s="293" t="s">
        <v>0</v>
      </c>
      <c r="I13" s="288">
        <f>D13*E13</f>
        <v>2400</v>
      </c>
      <c r="K13" s="277"/>
      <c r="M13" s="296"/>
      <c r="N13" s="298"/>
      <c r="O13" s="299"/>
      <c r="P13" s="300"/>
      <c r="Q13" s="299"/>
    </row>
    <row r="14" spans="2:19" ht="21.2" customHeight="1" x14ac:dyDescent="0.25">
      <c r="B14" s="290" t="s">
        <v>5</v>
      </c>
      <c r="C14" s="301" t="s">
        <v>158</v>
      </c>
      <c r="D14" s="286">
        <f>1/F6</f>
        <v>0.1</v>
      </c>
      <c r="E14" s="286">
        <f>F14/$N$12</f>
        <v>252.10084033613447</v>
      </c>
      <c r="F14" s="516">
        <v>300</v>
      </c>
      <c r="G14" s="514"/>
      <c r="H14" s="293" t="s">
        <v>0</v>
      </c>
      <c r="I14" s="288">
        <f>D14*E14</f>
        <v>25.210084033613448</v>
      </c>
      <c r="L14" s="302"/>
      <c r="M14" s="303"/>
      <c r="N14" s="299"/>
      <c r="O14" s="277"/>
      <c r="P14" s="297"/>
      <c r="Q14" s="277"/>
      <c r="R14" s="304"/>
      <c r="S14" s="304"/>
    </row>
    <row r="15" spans="2:19" ht="24.75" customHeight="1" thickBot="1" x14ac:dyDescent="0.35">
      <c r="B15" s="305" t="s">
        <v>57</v>
      </c>
      <c r="C15" s="306"/>
      <c r="D15" s="307"/>
      <c r="E15" s="307"/>
      <c r="F15" s="307"/>
      <c r="G15" s="308"/>
      <c r="H15" s="309" t="s">
        <v>0</v>
      </c>
      <c r="I15" s="310">
        <f>SUM(I10:I14)</f>
        <v>8677.3109243697472</v>
      </c>
      <c r="K15" s="277"/>
      <c r="L15" s="277"/>
    </row>
    <row r="16" spans="2:19" ht="39.75" customHeight="1" x14ac:dyDescent="0.25">
      <c r="B16" s="311" t="s">
        <v>162</v>
      </c>
      <c r="C16" s="312"/>
      <c r="D16" s="313" t="s">
        <v>126</v>
      </c>
      <c r="E16" s="313" t="s">
        <v>179</v>
      </c>
      <c r="F16" s="314"/>
      <c r="G16" s="315" t="s">
        <v>17</v>
      </c>
      <c r="H16" s="957" t="s">
        <v>161</v>
      </c>
      <c r="I16" s="958"/>
      <c r="K16" s="953"/>
      <c r="L16" s="953"/>
      <c r="M16" s="953"/>
      <c r="N16" s="953"/>
      <c r="O16" s="953"/>
      <c r="P16" s="953"/>
      <c r="Q16" s="953"/>
    </row>
    <row r="17" spans="2:14" ht="21.2" customHeight="1" x14ac:dyDescent="0.25">
      <c r="B17" s="283" t="s">
        <v>159</v>
      </c>
      <c r="C17" s="316"/>
      <c r="D17" s="286">
        <f>1/F6</f>
        <v>0.1</v>
      </c>
      <c r="E17" s="317">
        <v>2500</v>
      </c>
      <c r="F17" s="318"/>
      <c r="G17" s="319" t="s">
        <v>49</v>
      </c>
      <c r="H17" s="287" t="s">
        <v>0</v>
      </c>
      <c r="I17" s="320">
        <f>D17*E17</f>
        <v>250</v>
      </c>
      <c r="K17" s="277" t="s">
        <v>31</v>
      </c>
    </row>
    <row r="18" spans="2:14" ht="21.2" customHeight="1" x14ac:dyDescent="0.25">
      <c r="B18" s="290"/>
      <c r="C18" s="321"/>
      <c r="D18" s="322" t="s">
        <v>37</v>
      </c>
      <c r="E18" s="323" t="s">
        <v>38</v>
      </c>
      <c r="F18" s="322" t="s">
        <v>39</v>
      </c>
      <c r="G18" s="324" t="s">
        <v>125</v>
      </c>
      <c r="H18" s="293" t="s">
        <v>0</v>
      </c>
      <c r="I18" s="325"/>
      <c r="K18" s="277" t="s">
        <v>32</v>
      </c>
    </row>
    <row r="19" spans="2:14" ht="21.2" customHeight="1" x14ac:dyDescent="0.25">
      <c r="B19" s="290" t="s">
        <v>18</v>
      </c>
      <c r="C19" s="28" t="s">
        <v>45</v>
      </c>
      <c r="D19" s="44">
        <v>1.5</v>
      </c>
      <c r="E19" s="35">
        <v>0.2</v>
      </c>
      <c r="F19" s="36">
        <v>365</v>
      </c>
      <c r="G19" s="328">
        <f t="shared" ref="G19:G26" si="0">D19*F19/100</f>
        <v>5.4749999999999996</v>
      </c>
      <c r="H19" s="293" t="s">
        <v>0</v>
      </c>
      <c r="I19" s="320">
        <f t="shared" ref="I19:I25" si="1">D19*E19*F19</f>
        <v>109.50000000000001</v>
      </c>
    </row>
    <row r="20" spans="2:14" ht="21.2" customHeight="1" x14ac:dyDescent="0.25">
      <c r="B20" s="290" t="s">
        <v>19</v>
      </c>
      <c r="C20" s="28" t="s">
        <v>46</v>
      </c>
      <c r="D20" s="44">
        <v>0.5</v>
      </c>
      <c r="E20" s="35">
        <v>0.3</v>
      </c>
      <c r="F20" s="36">
        <v>365</v>
      </c>
      <c r="G20" s="328">
        <f t="shared" si="0"/>
        <v>1.825</v>
      </c>
      <c r="H20" s="293" t="s">
        <v>0</v>
      </c>
      <c r="I20" s="320">
        <f t="shared" si="1"/>
        <v>54.75</v>
      </c>
      <c r="K20" s="277" t="s">
        <v>165</v>
      </c>
      <c r="L20" s="277"/>
    </row>
    <row r="21" spans="2:14" ht="21.2" customHeight="1" x14ac:dyDescent="0.25">
      <c r="B21" s="290" t="s">
        <v>20</v>
      </c>
      <c r="C21" s="28" t="s">
        <v>50</v>
      </c>
      <c r="D21" s="44">
        <v>8</v>
      </c>
      <c r="E21" s="35">
        <v>0.15</v>
      </c>
      <c r="F21" s="36">
        <v>185</v>
      </c>
      <c r="G21" s="329">
        <f t="shared" si="0"/>
        <v>14.8</v>
      </c>
      <c r="H21" s="293" t="s">
        <v>0</v>
      </c>
      <c r="I21" s="320">
        <f t="shared" si="1"/>
        <v>222</v>
      </c>
      <c r="K21" s="277" t="s">
        <v>60</v>
      </c>
      <c r="L21" s="277"/>
    </row>
    <row r="22" spans="2:14" ht="21.2" customHeight="1" x14ac:dyDescent="0.25">
      <c r="B22" s="290" t="s">
        <v>21</v>
      </c>
      <c r="C22" s="28" t="s">
        <v>61</v>
      </c>
      <c r="D22" s="44">
        <v>6</v>
      </c>
      <c r="E22" s="35">
        <v>0.15</v>
      </c>
      <c r="F22" s="36">
        <v>180</v>
      </c>
      <c r="G22" s="328">
        <f t="shared" si="0"/>
        <v>10.8</v>
      </c>
      <c r="H22" s="293" t="s">
        <v>0</v>
      </c>
      <c r="I22" s="320">
        <f t="shared" si="1"/>
        <v>161.99999999999997</v>
      </c>
      <c r="K22" s="277"/>
      <c r="L22" s="277"/>
    </row>
    <row r="23" spans="2:14" ht="21.2" customHeight="1" x14ac:dyDescent="0.25">
      <c r="B23" s="290" t="s">
        <v>22</v>
      </c>
      <c r="C23" s="28" t="s">
        <v>283</v>
      </c>
      <c r="D23" s="44">
        <v>7</v>
      </c>
      <c r="E23" s="35">
        <v>0.03</v>
      </c>
      <c r="F23" s="36">
        <v>185</v>
      </c>
      <c r="G23" s="328">
        <f t="shared" si="0"/>
        <v>12.95</v>
      </c>
      <c r="H23" s="293" t="s">
        <v>0</v>
      </c>
      <c r="I23" s="320">
        <f t="shared" si="1"/>
        <v>38.85</v>
      </c>
      <c r="K23" s="277"/>
      <c r="L23" s="277"/>
    </row>
    <row r="24" spans="2:14" ht="21.2" customHeight="1" x14ac:dyDescent="0.25">
      <c r="B24" s="556" t="s">
        <v>35</v>
      </c>
      <c r="C24" s="452" t="s">
        <v>47</v>
      </c>
      <c r="D24" s="453">
        <v>4</v>
      </c>
      <c r="E24" s="454">
        <v>0.15</v>
      </c>
      <c r="F24" s="455">
        <v>180</v>
      </c>
      <c r="G24" s="557">
        <f t="shared" si="0"/>
        <v>7.2</v>
      </c>
      <c r="H24" s="558" t="s">
        <v>0</v>
      </c>
      <c r="I24" s="559">
        <f t="shared" si="1"/>
        <v>108</v>
      </c>
      <c r="K24" s="277"/>
      <c r="L24" s="560" t="s">
        <v>284</v>
      </c>
      <c r="M24" s="561">
        <f>SUM(I19:I24)</f>
        <v>695.1</v>
      </c>
      <c r="N24" s="277"/>
    </row>
    <row r="25" spans="2:14" ht="21.2" customHeight="1" x14ac:dyDescent="0.25">
      <c r="B25" s="283" t="s">
        <v>11</v>
      </c>
      <c r="C25" s="32" t="s">
        <v>42</v>
      </c>
      <c r="D25" s="99">
        <v>8</v>
      </c>
      <c r="E25" s="100">
        <v>0.08</v>
      </c>
      <c r="F25" s="38">
        <v>365</v>
      </c>
      <c r="G25" s="555">
        <f t="shared" si="0"/>
        <v>29.2</v>
      </c>
      <c r="H25" s="330" t="s">
        <v>0</v>
      </c>
      <c r="I25" s="288">
        <f t="shared" si="1"/>
        <v>233.6</v>
      </c>
      <c r="K25" s="277"/>
      <c r="L25" s="277"/>
    </row>
    <row r="26" spans="2:14" ht="21.2" customHeight="1" x14ac:dyDescent="0.25">
      <c r="B26" s="290" t="s">
        <v>11</v>
      </c>
      <c r="C26" s="291"/>
      <c r="D26" s="331"/>
      <c r="E26" s="332"/>
      <c r="F26" s="327"/>
      <c r="G26" s="333">
        <f t="shared" si="0"/>
        <v>0</v>
      </c>
      <c r="H26" s="330" t="s">
        <v>0</v>
      </c>
      <c r="I26" s="320">
        <f>D26*E26*F26</f>
        <v>0</v>
      </c>
      <c r="K26" s="277"/>
      <c r="L26" s="277"/>
    </row>
    <row r="27" spans="2:14" ht="21.2" customHeight="1" x14ac:dyDescent="0.25">
      <c r="B27" s="283" t="s">
        <v>10</v>
      </c>
      <c r="C27" s="334" t="s">
        <v>27</v>
      </c>
      <c r="D27" s="335">
        <v>100</v>
      </c>
      <c r="E27" s="336">
        <v>2</v>
      </c>
      <c r="F27" s="327">
        <v>365</v>
      </c>
      <c r="G27" s="337">
        <f>D27*F27/1000</f>
        <v>36.5</v>
      </c>
      <c r="H27" s="287" t="s">
        <v>0</v>
      </c>
      <c r="I27" s="288">
        <f>D27*E27*F27/1000</f>
        <v>73</v>
      </c>
    </row>
    <row r="28" spans="2:14" ht="21.2" customHeight="1" x14ac:dyDescent="0.25">
      <c r="B28" s="290" t="s">
        <v>1</v>
      </c>
      <c r="C28" s="321"/>
      <c r="D28" s="338" t="s">
        <v>124</v>
      </c>
      <c r="E28" s="339"/>
      <c r="F28" s="340"/>
      <c r="G28" s="341"/>
      <c r="H28" s="342" t="s">
        <v>0</v>
      </c>
      <c r="I28" s="343"/>
    </row>
    <row r="29" spans="2:14" ht="21.2" customHeight="1" x14ac:dyDescent="0.25">
      <c r="B29" s="344"/>
      <c r="C29" s="340"/>
      <c r="D29" s="345" t="s">
        <v>23</v>
      </c>
      <c r="E29" s="345" t="s">
        <v>164</v>
      </c>
      <c r="F29" s="345" t="s">
        <v>24</v>
      </c>
      <c r="G29" s="346"/>
      <c r="H29" s="347"/>
      <c r="I29" s="343"/>
    </row>
    <row r="30" spans="2:14" ht="21.2" customHeight="1" x14ac:dyDescent="0.25">
      <c r="B30" s="290" t="s">
        <v>12</v>
      </c>
      <c r="C30" s="321" t="s">
        <v>16</v>
      </c>
      <c r="D30" s="327">
        <v>300</v>
      </c>
      <c r="E30" s="326">
        <v>0.25</v>
      </c>
      <c r="F30" s="348">
        <v>1</v>
      </c>
      <c r="G30" s="349"/>
      <c r="H30" s="293" t="s">
        <v>0</v>
      </c>
      <c r="I30" s="320">
        <f t="shared" ref="I30:I40" si="2">D30*E30*F30</f>
        <v>75</v>
      </c>
    </row>
    <row r="31" spans="2:14" ht="21.2" customHeight="1" x14ac:dyDescent="0.25">
      <c r="B31" s="290" t="s">
        <v>8</v>
      </c>
      <c r="C31" s="321"/>
      <c r="D31" s="351">
        <v>1</v>
      </c>
      <c r="E31" s="350">
        <v>300</v>
      </c>
      <c r="F31" s="348">
        <f t="shared" ref="F31:F41" si="3">$F$30</f>
        <v>1</v>
      </c>
      <c r="G31" s="349"/>
      <c r="H31" s="293" t="s">
        <v>0</v>
      </c>
      <c r="I31" s="320">
        <f t="shared" si="2"/>
        <v>300</v>
      </c>
    </row>
    <row r="32" spans="2:14" ht="21.2" customHeight="1" x14ac:dyDescent="0.25">
      <c r="B32" s="290" t="s">
        <v>7</v>
      </c>
      <c r="C32" s="291"/>
      <c r="D32" s="351">
        <v>8</v>
      </c>
      <c r="E32" s="350">
        <v>60</v>
      </c>
      <c r="F32" s="348">
        <f t="shared" si="3"/>
        <v>1</v>
      </c>
      <c r="G32" s="349"/>
      <c r="H32" s="293" t="s">
        <v>0</v>
      </c>
      <c r="I32" s="320">
        <f t="shared" si="2"/>
        <v>480</v>
      </c>
    </row>
    <row r="33" spans="2:15" ht="21.2" customHeight="1" x14ac:dyDescent="0.25">
      <c r="B33" s="290" t="s">
        <v>15</v>
      </c>
      <c r="C33" s="291" t="s">
        <v>174</v>
      </c>
      <c r="D33" s="351">
        <f>2*365/50</f>
        <v>14.6</v>
      </c>
      <c r="E33" s="350">
        <v>4.9400000000000004</v>
      </c>
      <c r="F33" s="348">
        <f t="shared" si="3"/>
        <v>1</v>
      </c>
      <c r="G33" s="349" t="s">
        <v>51</v>
      </c>
      <c r="H33" s="293" t="s">
        <v>0</v>
      </c>
      <c r="I33" s="320">
        <f t="shared" si="2"/>
        <v>72.124000000000009</v>
      </c>
    </row>
    <row r="34" spans="2:15" ht="21.2" customHeight="1" x14ac:dyDescent="0.25">
      <c r="B34" s="290" t="s">
        <v>9</v>
      </c>
      <c r="C34" s="291"/>
      <c r="D34" s="351">
        <v>1</v>
      </c>
      <c r="E34" s="350">
        <v>50</v>
      </c>
      <c r="F34" s="348">
        <f t="shared" si="3"/>
        <v>1</v>
      </c>
      <c r="G34" s="349"/>
      <c r="H34" s="293" t="s">
        <v>0</v>
      </c>
      <c r="I34" s="320">
        <f t="shared" si="2"/>
        <v>50</v>
      </c>
    </row>
    <row r="35" spans="2:15" ht="21.2" customHeight="1" x14ac:dyDescent="0.25">
      <c r="B35" s="290" t="s">
        <v>163</v>
      </c>
      <c r="C35" s="291"/>
      <c r="D35" s="351"/>
      <c r="E35" s="350"/>
      <c r="F35" s="348">
        <f t="shared" si="3"/>
        <v>1</v>
      </c>
      <c r="G35" s="349"/>
      <c r="H35" s="293" t="s">
        <v>0</v>
      </c>
      <c r="I35" s="320">
        <f t="shared" si="2"/>
        <v>0</v>
      </c>
    </row>
    <row r="36" spans="2:15" ht="21.2" customHeight="1" x14ac:dyDescent="0.25">
      <c r="B36" s="290" t="s">
        <v>68</v>
      </c>
      <c r="C36" s="321"/>
      <c r="D36" s="351">
        <v>1</v>
      </c>
      <c r="E36" s="350">
        <v>180</v>
      </c>
      <c r="F36" s="348">
        <f t="shared" si="3"/>
        <v>1</v>
      </c>
      <c r="G36" s="349" t="s">
        <v>25</v>
      </c>
      <c r="H36" s="293" t="s">
        <v>0</v>
      </c>
      <c r="I36" s="320">
        <f t="shared" si="2"/>
        <v>180</v>
      </c>
      <c r="L36" s="276" t="s">
        <v>26</v>
      </c>
    </row>
    <row r="37" spans="2:15" ht="21.2" customHeight="1" x14ac:dyDescent="0.25">
      <c r="B37" s="290" t="s">
        <v>14</v>
      </c>
      <c r="C37" s="291"/>
      <c r="D37" s="351">
        <v>1</v>
      </c>
      <c r="E37" s="350">
        <v>5</v>
      </c>
      <c r="F37" s="348">
        <f t="shared" si="3"/>
        <v>1</v>
      </c>
      <c r="G37" s="349"/>
      <c r="H37" s="293" t="s">
        <v>0</v>
      </c>
      <c r="I37" s="320">
        <f t="shared" si="2"/>
        <v>5</v>
      </c>
    </row>
    <row r="38" spans="2:15" ht="21.2" customHeight="1" x14ac:dyDescent="0.25">
      <c r="B38" s="290" t="s">
        <v>33</v>
      </c>
      <c r="C38" s="291" t="s">
        <v>69</v>
      </c>
      <c r="D38" s="412">
        <f>(D10+D11+D12)/G38+(D13*10/5)</f>
        <v>127.74864376130201</v>
      </c>
      <c r="E38" s="350">
        <v>20</v>
      </c>
      <c r="F38" s="348">
        <f t="shared" si="3"/>
        <v>1</v>
      </c>
      <c r="G38" s="527">
        <f>(D10*G10+D11*G11+D12*G12)/(D10+D11+D12)</f>
        <v>4.3715415019762842</v>
      </c>
      <c r="H38" s="293" t="s">
        <v>0</v>
      </c>
      <c r="I38" s="320">
        <f t="shared" si="2"/>
        <v>2554.9728752260403</v>
      </c>
      <c r="J38" s="517"/>
      <c r="K38" s="518"/>
      <c r="L38" s="519"/>
    </row>
    <row r="39" spans="2:15" ht="21.2" customHeight="1" x14ac:dyDescent="0.25">
      <c r="B39" s="352" t="s">
        <v>2</v>
      </c>
      <c r="C39" s="353" t="s">
        <v>240</v>
      </c>
      <c r="D39" s="351">
        <f>1/5*D13</f>
        <v>1.2000000000000002</v>
      </c>
      <c r="E39" s="350">
        <v>600</v>
      </c>
      <c r="F39" s="348">
        <f t="shared" si="3"/>
        <v>1</v>
      </c>
      <c r="G39" s="354" t="s">
        <v>242</v>
      </c>
      <c r="H39" s="293" t="s">
        <v>0</v>
      </c>
      <c r="I39" s="320">
        <f t="shared" si="2"/>
        <v>720.00000000000011</v>
      </c>
      <c r="K39" s="277"/>
    </row>
    <row r="40" spans="2:15" ht="21.2" customHeight="1" x14ac:dyDescent="0.25">
      <c r="B40" s="355" t="s">
        <v>2</v>
      </c>
      <c r="C40" s="356" t="s">
        <v>44</v>
      </c>
      <c r="D40" s="351">
        <v>0.2</v>
      </c>
      <c r="E40" s="350">
        <v>1000</v>
      </c>
      <c r="F40" s="348">
        <f t="shared" si="3"/>
        <v>1</v>
      </c>
      <c r="G40" s="354" t="s">
        <v>128</v>
      </c>
      <c r="H40" s="293" t="s">
        <v>0</v>
      </c>
      <c r="I40" s="320">
        <f t="shared" si="2"/>
        <v>200</v>
      </c>
      <c r="K40" s="277"/>
    </row>
    <row r="41" spans="2:15" ht="21.2" customHeight="1" x14ac:dyDescent="0.25">
      <c r="B41" s="357" t="s">
        <v>170</v>
      </c>
      <c r="C41" s="358"/>
      <c r="D41" s="359">
        <v>0.04</v>
      </c>
      <c r="E41" s="360">
        <f>(E17+F14)/2</f>
        <v>1400</v>
      </c>
      <c r="F41" s="361">
        <f t="shared" si="3"/>
        <v>1</v>
      </c>
      <c r="G41" s="354"/>
      <c r="H41" s="362" t="s">
        <v>0</v>
      </c>
      <c r="I41" s="363">
        <f>E41*D41*F41</f>
        <v>56</v>
      </c>
      <c r="K41" s="277"/>
    </row>
    <row r="42" spans="2:15" ht="24.75" customHeight="1" thickBot="1" x14ac:dyDescent="0.35">
      <c r="B42" s="961" t="s">
        <v>62</v>
      </c>
      <c r="C42" s="962"/>
      <c r="D42" s="962"/>
      <c r="E42" s="962"/>
      <c r="F42" s="962"/>
      <c r="G42" s="963"/>
      <c r="H42" s="364" t="s">
        <v>0</v>
      </c>
      <c r="I42" s="365">
        <f>SUM(I17:I41)</f>
        <v>5944.7968752260404</v>
      </c>
      <c r="K42" s="277"/>
    </row>
    <row r="43" spans="2:15" ht="28.5" customHeight="1" thickTop="1" thickBot="1" x14ac:dyDescent="0.4">
      <c r="B43" s="366" t="s">
        <v>127</v>
      </c>
      <c r="C43" s="367"/>
      <c r="D43" s="368"/>
      <c r="E43" s="368"/>
      <c r="F43" s="368"/>
      <c r="G43" s="368"/>
      <c r="H43" s="369" t="s">
        <v>0</v>
      </c>
      <c r="I43" s="370">
        <f>I15-I42</f>
        <v>2732.5140491437069</v>
      </c>
      <c r="J43" s="371"/>
      <c r="K43" s="372"/>
      <c r="L43" s="373"/>
    </row>
    <row r="44" spans="2:15" ht="23.25" customHeight="1" x14ac:dyDescent="0.25">
      <c r="B44" s="966" t="s">
        <v>56</v>
      </c>
      <c r="C44" s="967"/>
      <c r="D44" s="374">
        <v>120</v>
      </c>
      <c r="E44" s="375" t="s">
        <v>63</v>
      </c>
      <c r="F44" s="376">
        <v>17</v>
      </c>
      <c r="G44" s="377" t="s">
        <v>48</v>
      </c>
      <c r="H44" s="378" t="s">
        <v>0</v>
      </c>
      <c r="I44" s="379">
        <f>D44*F44</f>
        <v>2040</v>
      </c>
      <c r="J44" s="371"/>
      <c r="K44" s="372"/>
      <c r="L44" s="546" t="s">
        <v>279</v>
      </c>
      <c r="M44" s="857" t="s">
        <v>280</v>
      </c>
      <c r="N44" s="857"/>
      <c r="O44" s="547" t="s">
        <v>281</v>
      </c>
    </row>
    <row r="45" spans="2:15" ht="23.25" customHeight="1" x14ac:dyDescent="0.25">
      <c r="B45" s="951" t="s">
        <v>52</v>
      </c>
      <c r="C45" s="952"/>
      <c r="D45" s="489">
        <v>6000</v>
      </c>
      <c r="E45" s="380" t="s">
        <v>255</v>
      </c>
      <c r="F45" s="549">
        <f>SUM(L45:O45)*100</f>
        <v>6.0000000000000009</v>
      </c>
      <c r="G45" s="381" t="s">
        <v>254</v>
      </c>
      <c r="H45" s="382" t="s">
        <v>0</v>
      </c>
      <c r="I45" s="383">
        <f>D45*F45/100</f>
        <v>360.00000000000006</v>
      </c>
      <c r="J45" s="371"/>
      <c r="K45" s="372"/>
      <c r="L45" s="545">
        <v>0.03</v>
      </c>
      <c r="M45" s="855">
        <v>0.02</v>
      </c>
      <c r="N45" s="856"/>
      <c r="O45" s="545">
        <v>0.01</v>
      </c>
    </row>
    <row r="46" spans="2:15" ht="23.25" customHeight="1" x14ac:dyDescent="0.25">
      <c r="B46" s="951" t="s">
        <v>53</v>
      </c>
      <c r="C46" s="952"/>
      <c r="D46" s="489">
        <v>5000</v>
      </c>
      <c r="E46" s="380" t="s">
        <v>255</v>
      </c>
      <c r="F46" s="549">
        <f>SUM(L46:O46)*100</f>
        <v>6.5</v>
      </c>
      <c r="G46" s="381" t="s">
        <v>254</v>
      </c>
      <c r="H46" s="382" t="s">
        <v>0</v>
      </c>
      <c r="I46" s="383">
        <f>D46*F46/100</f>
        <v>325</v>
      </c>
      <c r="J46" s="371"/>
      <c r="K46" s="372"/>
      <c r="L46" s="545">
        <v>2.5000000000000001E-2</v>
      </c>
      <c r="M46" s="855">
        <v>0.02</v>
      </c>
      <c r="N46" s="856"/>
      <c r="O46" s="545">
        <v>0.02</v>
      </c>
    </row>
    <row r="47" spans="2:15" ht="23.25" customHeight="1" x14ac:dyDescent="0.25">
      <c r="B47" s="951" t="s">
        <v>135</v>
      </c>
      <c r="C47" s="952"/>
      <c r="D47" s="489">
        <v>1000</v>
      </c>
      <c r="E47" s="380" t="s">
        <v>255</v>
      </c>
      <c r="F47" s="549">
        <f>SUM(L47:O47)*100</f>
        <v>10</v>
      </c>
      <c r="G47" s="381" t="s">
        <v>254</v>
      </c>
      <c r="H47" s="382" t="s">
        <v>0</v>
      </c>
      <c r="I47" s="383">
        <f>D47*F47/100</f>
        <v>100</v>
      </c>
      <c r="J47" s="371"/>
      <c r="K47" s="372"/>
      <c r="L47" s="545">
        <v>0.08</v>
      </c>
      <c r="M47" s="855">
        <v>0.02</v>
      </c>
      <c r="N47" s="856"/>
      <c r="O47" s="548"/>
    </row>
    <row r="48" spans="2:15" ht="23.25" customHeight="1" x14ac:dyDescent="0.25">
      <c r="B48" s="951" t="s">
        <v>54</v>
      </c>
      <c r="C48" s="952"/>
      <c r="D48" s="491">
        <v>0.1</v>
      </c>
      <c r="E48" s="380" t="s">
        <v>64</v>
      </c>
      <c r="F48" s="384">
        <v>200</v>
      </c>
      <c r="G48" s="381" t="s">
        <v>34</v>
      </c>
      <c r="H48" s="382" t="s">
        <v>0</v>
      </c>
      <c r="I48" s="383">
        <f>D48*F48</f>
        <v>20</v>
      </c>
      <c r="J48" s="371"/>
      <c r="K48" s="372"/>
      <c r="L48" s="373"/>
    </row>
    <row r="49" spans="2:12" ht="23.25" customHeight="1" x14ac:dyDescent="0.25">
      <c r="B49" s="968" t="s">
        <v>137</v>
      </c>
      <c r="C49" s="969"/>
      <c r="D49" s="489">
        <v>15000</v>
      </c>
      <c r="E49" s="380" t="s">
        <v>256</v>
      </c>
      <c r="F49" s="489">
        <v>300</v>
      </c>
      <c r="G49" s="385" t="s">
        <v>257</v>
      </c>
      <c r="H49" s="330" t="s">
        <v>0</v>
      </c>
      <c r="I49" s="386">
        <f>F49</f>
        <v>300</v>
      </c>
      <c r="J49" s="371"/>
      <c r="K49" s="372"/>
      <c r="L49" s="373"/>
    </row>
    <row r="50" spans="2:12" ht="23.25" customHeight="1" thickBot="1" x14ac:dyDescent="0.35">
      <c r="B50" s="948" t="s">
        <v>65</v>
      </c>
      <c r="C50" s="949"/>
      <c r="D50" s="949"/>
      <c r="E50" s="949"/>
      <c r="F50" s="949"/>
      <c r="G50" s="950"/>
      <c r="H50" s="387" t="s">
        <v>0</v>
      </c>
      <c r="I50" s="388">
        <f>SUM(I44:I49)</f>
        <v>3145</v>
      </c>
      <c r="J50" s="371"/>
      <c r="K50" s="372"/>
      <c r="L50" s="373"/>
    </row>
    <row r="51" spans="2:12" ht="25.5" customHeight="1" thickTop="1" x14ac:dyDescent="0.35">
      <c r="B51" s="389" t="s">
        <v>70</v>
      </c>
      <c r="C51" s="390"/>
      <c r="D51" s="390"/>
      <c r="E51" s="390"/>
      <c r="F51" s="390"/>
      <c r="G51" s="391"/>
      <c r="H51" s="392" t="s">
        <v>0</v>
      </c>
      <c r="I51" s="393">
        <f>I43-I50</f>
        <v>-412.48595085629313</v>
      </c>
      <c r="J51" s="371"/>
      <c r="K51" s="372"/>
      <c r="L51" s="373"/>
    </row>
    <row r="52" spans="2:12" ht="25.5" customHeight="1" x14ac:dyDescent="0.35">
      <c r="B52" s="394" t="s">
        <v>191</v>
      </c>
      <c r="C52" s="395"/>
      <c r="D52" s="395"/>
      <c r="E52" s="395"/>
      <c r="F52" s="395"/>
      <c r="G52" s="396" t="s">
        <v>193</v>
      </c>
      <c r="H52" s="397" t="s">
        <v>0</v>
      </c>
      <c r="I52" s="398">
        <f>I51+I44</f>
        <v>1627.5140491437069</v>
      </c>
      <c r="J52" s="371"/>
      <c r="K52" s="372"/>
      <c r="L52" s="373"/>
    </row>
    <row r="53" spans="2:12" ht="25.5" customHeight="1" x14ac:dyDescent="0.35">
      <c r="B53" s="399"/>
      <c r="C53" s="400"/>
      <c r="D53" s="400"/>
      <c r="E53" s="400"/>
      <c r="F53" s="400"/>
      <c r="G53" s="401" t="s">
        <v>192</v>
      </c>
      <c r="H53" s="402" t="s">
        <v>0</v>
      </c>
      <c r="I53" s="403">
        <f>I52/D44</f>
        <v>13.562617076197558</v>
      </c>
      <c r="J53" s="371"/>
      <c r="K53" s="372"/>
      <c r="L53" s="373"/>
    </row>
    <row r="54" spans="2:12" ht="45.75" customHeight="1" thickBot="1" x14ac:dyDescent="0.4">
      <c r="B54" s="964" t="s">
        <v>285</v>
      </c>
      <c r="C54" s="965"/>
      <c r="D54" s="965"/>
      <c r="E54" s="404" t="s">
        <v>49</v>
      </c>
      <c r="F54" s="405">
        <f>(I42+I50-I11-I12-I13-I14)/D10</f>
        <v>12.795920759493672</v>
      </c>
      <c r="G54" s="406" t="s">
        <v>43</v>
      </c>
      <c r="H54" s="407" t="s">
        <v>0</v>
      </c>
      <c r="I54" s="408">
        <f>F54*N12</f>
        <v>15.227145703797468</v>
      </c>
      <c r="J54" s="371"/>
      <c r="K54" s="372"/>
      <c r="L54" s="373"/>
    </row>
    <row r="55" spans="2:12" ht="39.200000000000003" customHeight="1" x14ac:dyDescent="0.25">
      <c r="B55" s="409"/>
      <c r="C55" s="409"/>
      <c r="D55" s="409"/>
      <c r="E55" s="409"/>
      <c r="F55" s="409"/>
      <c r="G55" s="410"/>
      <c r="H55" s="409"/>
      <c r="I55" s="411"/>
      <c r="J55" s="371"/>
    </row>
    <row r="57" spans="2:12" x14ac:dyDescent="0.25">
      <c r="F57" s="277"/>
      <c r="G57" s="276"/>
    </row>
  </sheetData>
  <mergeCells count="27">
    <mergeCell ref="B54:D54"/>
    <mergeCell ref="B44:C44"/>
    <mergeCell ref="B45:C45"/>
    <mergeCell ref="B46:C46"/>
    <mergeCell ref="B47:C47"/>
    <mergeCell ref="B49:C49"/>
    <mergeCell ref="N5:O5"/>
    <mergeCell ref="K5:M5"/>
    <mergeCell ref="B50:G50"/>
    <mergeCell ref="B48:C48"/>
    <mergeCell ref="K16:Q16"/>
    <mergeCell ref="M44:N44"/>
    <mergeCell ref="M45:N45"/>
    <mergeCell ref="M46:N46"/>
    <mergeCell ref="M47:N47"/>
    <mergeCell ref="B6:E6"/>
    <mergeCell ref="H6:I6"/>
    <mergeCell ref="H16:I16"/>
    <mergeCell ref="E4:E5"/>
    <mergeCell ref="B42:G42"/>
    <mergeCell ref="B2:I2"/>
    <mergeCell ref="B3:C3"/>
    <mergeCell ref="D3:E3"/>
    <mergeCell ref="B4:C5"/>
    <mergeCell ref="D4:D5"/>
    <mergeCell ref="F4:I4"/>
    <mergeCell ref="F5:I5"/>
  </mergeCells>
  <pageMargins left="0.78740157480314965" right="0.39370078740157483" top="0.62992125984251968" bottom="0.51181102362204722" header="0.31496062992125984" footer="0.23622047244094491"/>
  <pageSetup paperSize="9" scale="64" orientation="portrait" blackAndWhite="1" horizontalDpi="1200" verticalDpi="1200" r:id="rId1"/>
  <headerFooter alignWithMargins="0">
    <oddHeader>&amp;C&amp;A</oddHeader>
    <oddFooter>&amp;LLEL Schwäbisch Gmünd, Dr. V. Segger&amp;C&amp;F&amp;R&amp;D</oddFooter>
  </headerFooter>
  <rowBreaks count="1" manualBreakCount="1">
    <brk id="54"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58"/>
  <sheetViews>
    <sheetView showGridLines="0" showZeros="0" zoomScale="75" zoomScaleNormal="75" zoomScaleSheetLayoutView="75" workbookViewId="0">
      <pane ySplit="9" topLeftCell="A13" activePane="bottomLeft" state="frozen"/>
      <selection activeCell="J67" sqref="J67"/>
      <selection pane="bottomLeft" activeCell="J67" sqref="J67"/>
    </sheetView>
  </sheetViews>
  <sheetFormatPr baseColWidth="10" defaultColWidth="11.28515625" defaultRowHeight="18" x14ac:dyDescent="0.25"/>
  <cols>
    <col min="1" max="1" width="1.85546875" style="1" customWidth="1"/>
    <col min="2" max="2" width="25.85546875" style="2" customWidth="1"/>
    <col min="3" max="3" width="20.140625" style="2" customWidth="1"/>
    <col min="4" max="4" width="12.28515625" style="2" customWidth="1"/>
    <col min="5" max="5" width="19.140625" style="2" customWidth="1"/>
    <col min="6" max="6" width="12.28515625" style="2" customWidth="1"/>
    <col min="7" max="7" width="20.85546875" style="11" customWidth="1"/>
    <col min="8" max="8" width="5.28515625" style="1" customWidth="1"/>
    <col min="9" max="9" width="12" style="1" customWidth="1"/>
    <col min="10" max="10" width="11.85546875" style="1" customWidth="1"/>
    <col min="11" max="11" width="3.140625" style="1" customWidth="1"/>
    <col min="12" max="12" width="1.7109375" style="1" customWidth="1"/>
    <col min="13" max="13" width="15.7109375" style="1" customWidth="1"/>
    <col min="14" max="14" width="13.28515625" style="1" customWidth="1"/>
    <col min="15" max="15" width="10.28515625" style="1" customWidth="1"/>
    <col min="16" max="16" width="15.140625" style="1" bestFit="1" customWidth="1"/>
    <col min="17" max="17" width="20.140625" style="1" customWidth="1"/>
    <col min="18" max="18" width="7.140625" style="1" customWidth="1"/>
    <col min="19" max="19" width="3.7109375" style="1" customWidth="1"/>
    <col min="20" max="20" width="4.7109375" style="1" customWidth="1"/>
    <col min="21" max="21" width="10.85546875" style="1" customWidth="1"/>
    <col min="22" max="16384" width="11.28515625" style="1"/>
  </cols>
  <sheetData>
    <row r="1" spans="2:21" ht="5.25" customHeight="1" thickBot="1" x14ac:dyDescent="0.3"/>
    <row r="2" spans="2:21" ht="36" customHeight="1" thickBot="1" x14ac:dyDescent="0.3">
      <c r="B2" s="866" t="s">
        <v>55</v>
      </c>
      <c r="C2" s="867"/>
      <c r="D2" s="867"/>
      <c r="E2" s="867"/>
      <c r="F2" s="867"/>
      <c r="G2" s="867"/>
      <c r="H2" s="867"/>
      <c r="I2" s="867"/>
      <c r="J2" s="868"/>
      <c r="K2" s="252"/>
    </row>
    <row r="3" spans="2:21" ht="42" customHeight="1" x14ac:dyDescent="0.25">
      <c r="B3" s="912" t="s">
        <v>390</v>
      </c>
      <c r="C3" s="913"/>
      <c r="D3" s="914" t="s">
        <v>178</v>
      </c>
      <c r="E3" s="915"/>
      <c r="F3" s="185" t="s">
        <v>177</v>
      </c>
      <c r="G3" s="236" t="s">
        <v>175</v>
      </c>
      <c r="H3" s="196"/>
      <c r="I3" s="236" t="s">
        <v>176</v>
      </c>
      <c r="J3" s="251"/>
      <c r="K3" s="252"/>
      <c r="M3" s="924" t="s">
        <v>190</v>
      </c>
      <c r="N3" s="924"/>
      <c r="O3" s="924"/>
      <c r="P3" s="924"/>
      <c r="Q3" s="924"/>
    </row>
    <row r="4" spans="2:21" ht="22.7" customHeight="1" x14ac:dyDescent="0.25">
      <c r="B4" s="876"/>
      <c r="C4" s="921"/>
      <c r="D4" s="906" t="s">
        <v>23</v>
      </c>
      <c r="E4" s="863" t="s">
        <v>180</v>
      </c>
      <c r="F4" s="901" t="s">
        <v>4</v>
      </c>
      <c r="G4" s="902"/>
      <c r="H4" s="902"/>
      <c r="I4" s="902"/>
      <c r="J4" s="903"/>
      <c r="K4" s="252"/>
      <c r="Q4" s="11"/>
      <c r="R4" s="11"/>
      <c r="S4" s="11"/>
    </row>
    <row r="5" spans="2:21" ht="70.150000000000006" customHeight="1" x14ac:dyDescent="0.25">
      <c r="B5" s="922"/>
      <c r="C5" s="923"/>
      <c r="D5" s="907"/>
      <c r="E5" s="864"/>
      <c r="F5" s="909" t="s">
        <v>389</v>
      </c>
      <c r="G5" s="910"/>
      <c r="H5" s="910"/>
      <c r="I5" s="910"/>
      <c r="J5" s="911"/>
      <c r="K5" s="252"/>
      <c r="M5" s="63"/>
      <c r="N5" s="11"/>
      <c r="O5" s="11"/>
      <c r="P5" s="11"/>
      <c r="Q5" s="11"/>
      <c r="R5" s="11"/>
      <c r="S5" s="11"/>
    </row>
    <row r="6" spans="2:21" ht="28.5" customHeight="1" thickBot="1" x14ac:dyDescent="0.3">
      <c r="B6" s="164" t="s">
        <v>296</v>
      </c>
      <c r="C6" s="165"/>
      <c r="D6" s="908"/>
      <c r="E6" s="865"/>
      <c r="F6" s="904" t="s">
        <v>155</v>
      </c>
      <c r="G6" s="905"/>
      <c r="H6" s="181"/>
      <c r="I6" s="182">
        <v>1</v>
      </c>
      <c r="J6" s="167">
        <v>0.9</v>
      </c>
      <c r="K6" s="252"/>
      <c r="M6" s="63"/>
      <c r="N6" s="11"/>
      <c r="O6" s="11"/>
      <c r="P6" s="11"/>
      <c r="Q6" s="11"/>
      <c r="R6" s="11"/>
      <c r="S6" s="11"/>
    </row>
    <row r="7" spans="2:21" ht="28.5" hidden="1" customHeight="1" x14ac:dyDescent="0.25">
      <c r="B7" s="504"/>
      <c r="C7" s="505"/>
      <c r="D7" s="465"/>
      <c r="E7" s="465"/>
      <c r="F7" s="506"/>
      <c r="G7" s="506"/>
      <c r="H7" s="507"/>
      <c r="I7" s="508"/>
      <c r="J7" s="509"/>
      <c r="K7" s="252"/>
      <c r="M7" s="63"/>
      <c r="N7" s="11"/>
      <c r="O7" s="11"/>
      <c r="P7" s="11"/>
      <c r="Q7" s="11"/>
      <c r="R7" s="11"/>
      <c r="S7" s="11"/>
    </row>
    <row r="8" spans="2:21" ht="28.5" hidden="1" customHeight="1" x14ac:dyDescent="0.25">
      <c r="B8" s="504"/>
      <c r="C8" s="505"/>
      <c r="D8" s="465"/>
      <c r="E8" s="465"/>
      <c r="F8" s="506"/>
      <c r="G8" s="506"/>
      <c r="H8" s="507"/>
      <c r="I8" s="508"/>
      <c r="J8" s="509"/>
      <c r="K8" s="252"/>
      <c r="M8" s="63"/>
      <c r="N8" s="11"/>
      <c r="O8" s="11"/>
      <c r="P8" s="11"/>
      <c r="Q8" s="11"/>
      <c r="R8" s="11"/>
      <c r="S8" s="11"/>
    </row>
    <row r="9" spans="2:21" ht="28.5" hidden="1" customHeight="1" x14ac:dyDescent="0.25">
      <c r="B9" s="504"/>
      <c r="C9" s="505"/>
      <c r="D9" s="465"/>
      <c r="E9" s="465"/>
      <c r="F9" s="506"/>
      <c r="G9" s="506"/>
      <c r="H9" s="507"/>
      <c r="I9" s="508"/>
      <c r="J9" s="509"/>
      <c r="K9" s="252"/>
      <c r="M9" s="63"/>
      <c r="N9" s="11"/>
      <c r="O9" s="11"/>
      <c r="P9" s="11"/>
      <c r="Q9" s="11"/>
      <c r="R9" s="11"/>
      <c r="S9" s="11"/>
    </row>
    <row r="10" spans="2:21" ht="21.2" customHeight="1" x14ac:dyDescent="0.25">
      <c r="B10" s="14" t="s">
        <v>3</v>
      </c>
      <c r="C10" s="205" t="s">
        <v>72</v>
      </c>
      <c r="D10" s="166">
        <v>12</v>
      </c>
      <c r="E10" s="85">
        <f>F10/$R$12</f>
        <v>352.94117647058823</v>
      </c>
      <c r="F10" s="206">
        <v>420</v>
      </c>
      <c r="G10" s="198" t="s">
        <v>43</v>
      </c>
      <c r="H10" s="20" t="s">
        <v>0</v>
      </c>
      <c r="I10" s="152">
        <f>D10*E10</f>
        <v>4235.2941176470586</v>
      </c>
      <c r="J10" s="10">
        <f>I10*$J$6</f>
        <v>3811.7647058823527</v>
      </c>
      <c r="K10" s="252"/>
      <c r="M10" s="60" t="s">
        <v>28</v>
      </c>
      <c r="N10" s="11" t="s">
        <v>129</v>
      </c>
      <c r="O10" s="11"/>
      <c r="P10" s="11"/>
      <c r="Q10" s="11"/>
      <c r="R10" s="11"/>
      <c r="S10" s="11"/>
    </row>
    <row r="11" spans="2:21" ht="21.2" customHeight="1" x14ac:dyDescent="0.25">
      <c r="B11" s="5" t="s">
        <v>5</v>
      </c>
      <c r="C11" s="28" t="s">
        <v>194</v>
      </c>
      <c r="D11" s="42">
        <v>12</v>
      </c>
      <c r="E11" s="85">
        <f>F11/$R$12</f>
        <v>58.82352941176471</v>
      </c>
      <c r="F11" s="206">
        <v>70</v>
      </c>
      <c r="G11" s="198" t="s">
        <v>43</v>
      </c>
      <c r="H11" s="18" t="s">
        <v>0</v>
      </c>
      <c r="I11" s="152">
        <f>D11*E11</f>
        <v>705.88235294117658</v>
      </c>
      <c r="J11" s="10">
        <f>I11*$J$6</f>
        <v>635.2941176470589</v>
      </c>
      <c r="K11" s="252"/>
      <c r="M11" s="11"/>
      <c r="N11" s="11" t="s">
        <v>40</v>
      </c>
      <c r="O11" s="11"/>
      <c r="P11" s="11"/>
      <c r="Q11" s="11"/>
      <c r="R11" s="11"/>
      <c r="S11" s="11"/>
    </row>
    <row r="12" spans="2:21" ht="21.2" customHeight="1" x14ac:dyDescent="0.25">
      <c r="B12" s="5" t="s">
        <v>5</v>
      </c>
      <c r="C12" s="28"/>
      <c r="D12" s="42"/>
      <c r="E12" s="85">
        <f>F12/$R$12</f>
        <v>0</v>
      </c>
      <c r="F12" s="206"/>
      <c r="G12" s="198" t="s">
        <v>43</v>
      </c>
      <c r="H12" s="18" t="s">
        <v>0</v>
      </c>
      <c r="I12" s="152">
        <f>D12*E12</f>
        <v>0</v>
      </c>
      <c r="J12" s="10">
        <f>I12*$J$6</f>
        <v>0</v>
      </c>
      <c r="K12" s="252"/>
      <c r="M12" s="11"/>
      <c r="N12" s="11"/>
      <c r="O12" s="84">
        <v>0.19</v>
      </c>
      <c r="P12" s="11" t="s">
        <v>29</v>
      </c>
      <c r="Q12" s="11"/>
      <c r="R12" s="62">
        <f>1+O12</f>
        <v>1.19</v>
      </c>
      <c r="S12" s="11" t="s">
        <v>30</v>
      </c>
    </row>
    <row r="13" spans="2:21" ht="21.2" customHeight="1" x14ac:dyDescent="0.25">
      <c r="B13" s="5" t="s">
        <v>5</v>
      </c>
      <c r="C13" s="28"/>
      <c r="D13" s="42"/>
      <c r="E13" s="85">
        <f>F13/$R$12</f>
        <v>0</v>
      </c>
      <c r="F13" s="206"/>
      <c r="G13" s="198" t="s">
        <v>43</v>
      </c>
      <c r="H13" s="18" t="s">
        <v>0</v>
      </c>
      <c r="I13" s="152">
        <f>D13*E13</f>
        <v>0</v>
      </c>
      <c r="J13" s="10">
        <f>I13*$J$6</f>
        <v>0</v>
      </c>
      <c r="K13" s="252"/>
      <c r="M13" s="11"/>
      <c r="N13" s="68"/>
      <c r="O13" s="68"/>
      <c r="P13" s="68"/>
      <c r="Q13" s="68"/>
      <c r="R13" s="68"/>
      <c r="S13" s="68"/>
      <c r="T13" s="68"/>
    </row>
    <row r="14" spans="2:21" ht="21.2" customHeight="1" x14ac:dyDescent="0.25">
      <c r="B14" s="5" t="s">
        <v>5</v>
      </c>
      <c r="C14" s="28"/>
      <c r="D14" s="42"/>
      <c r="E14" s="85">
        <f>F14/$R$12</f>
        <v>0</v>
      </c>
      <c r="F14" s="206"/>
      <c r="G14" s="198" t="s">
        <v>43</v>
      </c>
      <c r="H14" s="18" t="s">
        <v>0</v>
      </c>
      <c r="I14" s="152">
        <f>D14*E14</f>
        <v>0</v>
      </c>
      <c r="J14" s="10">
        <f>I14*$J$6</f>
        <v>0</v>
      </c>
      <c r="K14" s="252"/>
      <c r="O14" s="61"/>
      <c r="P14" s="11"/>
      <c r="Q14" s="11"/>
      <c r="R14" s="62"/>
      <c r="S14" s="11"/>
      <c r="T14" s="67"/>
      <c r="U14" s="67"/>
    </row>
    <row r="15" spans="2:21" ht="24.75" customHeight="1" thickBot="1" x14ac:dyDescent="0.35">
      <c r="B15" s="23" t="s">
        <v>57</v>
      </c>
      <c r="C15" s="24"/>
      <c r="D15" s="25"/>
      <c r="E15" s="25"/>
      <c r="F15" s="25"/>
      <c r="G15" s="26"/>
      <c r="H15" s="27" t="s">
        <v>0</v>
      </c>
      <c r="I15" s="153">
        <f>SUM(I10:I14)</f>
        <v>4941.1764705882351</v>
      </c>
      <c r="J15" s="59">
        <f>SUM(J10:J14)</f>
        <v>4447.0588235294117</v>
      </c>
      <c r="K15" s="252"/>
      <c r="M15" s="11"/>
      <c r="N15" s="11"/>
    </row>
    <row r="16" spans="2:21" ht="37.5" customHeight="1" x14ac:dyDescent="0.25">
      <c r="B16" s="53" t="s">
        <v>58</v>
      </c>
      <c r="C16" s="54"/>
      <c r="D16" s="55" t="s">
        <v>126</v>
      </c>
      <c r="E16" s="55" t="s">
        <v>179</v>
      </c>
      <c r="F16" s="56"/>
      <c r="G16" s="57" t="s">
        <v>17</v>
      </c>
      <c r="H16" s="58"/>
      <c r="I16" s="883" t="s">
        <v>161</v>
      </c>
      <c r="J16" s="884"/>
      <c r="K16" s="252"/>
      <c r="L16" s="900"/>
      <c r="M16" s="900"/>
      <c r="N16" s="900"/>
      <c r="O16" s="900"/>
      <c r="P16" s="900"/>
      <c r="Q16" s="900"/>
      <c r="R16" s="900"/>
    </row>
    <row r="17" spans="2:16" ht="21.2" hidden="1" customHeight="1" x14ac:dyDescent="0.25">
      <c r="B17" s="14" t="s">
        <v>6</v>
      </c>
      <c r="C17" s="52"/>
      <c r="D17" s="183" t="s">
        <v>124</v>
      </c>
      <c r="E17" s="139"/>
      <c r="F17" s="140"/>
      <c r="G17" s="141"/>
      <c r="H17" s="142" t="s">
        <v>0</v>
      </c>
      <c r="I17" s="154"/>
      <c r="J17" s="143"/>
      <c r="K17" s="252"/>
      <c r="M17" s="11"/>
    </row>
    <row r="18" spans="2:16" ht="21.2" customHeight="1" x14ac:dyDescent="0.25">
      <c r="B18" s="5"/>
      <c r="C18" s="6"/>
      <c r="D18" s="16" t="s">
        <v>37</v>
      </c>
      <c r="E18" s="17" t="s">
        <v>38</v>
      </c>
      <c r="F18" s="16" t="s">
        <v>39</v>
      </c>
      <c r="G18" s="69" t="s">
        <v>125</v>
      </c>
      <c r="H18" s="18" t="s">
        <v>0</v>
      </c>
      <c r="I18" s="155"/>
      <c r="J18" s="15"/>
      <c r="K18" s="252"/>
      <c r="M18" s="11"/>
    </row>
    <row r="19" spans="2:16" ht="21.2" customHeight="1" x14ac:dyDescent="0.25">
      <c r="B19" s="5" t="s">
        <v>18</v>
      </c>
      <c r="C19" s="28" t="s">
        <v>45</v>
      </c>
      <c r="D19" s="44">
        <v>1</v>
      </c>
      <c r="E19" s="35">
        <v>0.3</v>
      </c>
      <c r="F19" s="36">
        <v>365</v>
      </c>
      <c r="G19" s="562">
        <f t="shared" ref="G19:G26" si="0">D19*F19/100</f>
        <v>3.65</v>
      </c>
      <c r="H19" s="18" t="s">
        <v>0</v>
      </c>
      <c r="I19" s="156">
        <f t="shared" ref="I19:I25" si="1">D19*E19*F19</f>
        <v>109.5</v>
      </c>
      <c r="J19" s="9">
        <f>I19*$J$6</f>
        <v>98.55</v>
      </c>
      <c r="K19" s="252"/>
    </row>
    <row r="20" spans="2:16" ht="21.2" customHeight="1" x14ac:dyDescent="0.25">
      <c r="B20" s="5" t="s">
        <v>19</v>
      </c>
      <c r="C20" s="28" t="s">
        <v>46</v>
      </c>
      <c r="D20" s="44">
        <v>0.5</v>
      </c>
      <c r="E20" s="35">
        <v>0.4</v>
      </c>
      <c r="F20" s="36">
        <v>365</v>
      </c>
      <c r="G20" s="562">
        <f t="shared" si="0"/>
        <v>1.825</v>
      </c>
      <c r="H20" s="18" t="s">
        <v>0</v>
      </c>
      <c r="I20" s="156">
        <f t="shared" si="1"/>
        <v>73</v>
      </c>
      <c r="J20" s="9">
        <f t="shared" ref="J20:J27" si="2">I20*$J$6</f>
        <v>65.7</v>
      </c>
      <c r="K20" s="252"/>
      <c r="N20" s="1" t="s">
        <v>165</v>
      </c>
    </row>
    <row r="21" spans="2:16" ht="21.2" customHeight="1" x14ac:dyDescent="0.25">
      <c r="B21" s="5" t="s">
        <v>20</v>
      </c>
      <c r="C21" s="28" t="s">
        <v>50</v>
      </c>
      <c r="D21" s="44">
        <v>8</v>
      </c>
      <c r="E21" s="35">
        <v>0.18</v>
      </c>
      <c r="F21" s="36">
        <v>185</v>
      </c>
      <c r="G21" s="562">
        <f t="shared" si="0"/>
        <v>14.8</v>
      </c>
      <c r="H21" s="18" t="s">
        <v>0</v>
      </c>
      <c r="I21" s="156">
        <f t="shared" si="1"/>
        <v>266.39999999999998</v>
      </c>
      <c r="J21" s="9">
        <f t="shared" si="2"/>
        <v>239.76</v>
      </c>
      <c r="K21" s="252"/>
      <c r="N21" s="11" t="s">
        <v>60</v>
      </c>
    </row>
    <row r="22" spans="2:16" ht="21.2" customHeight="1" x14ac:dyDescent="0.25">
      <c r="B22" s="5" t="s">
        <v>21</v>
      </c>
      <c r="C22" s="28" t="s">
        <v>61</v>
      </c>
      <c r="D22" s="44">
        <v>7</v>
      </c>
      <c r="E22" s="35">
        <v>0.18</v>
      </c>
      <c r="F22" s="36">
        <v>180</v>
      </c>
      <c r="G22" s="562">
        <f t="shared" si="0"/>
        <v>12.6</v>
      </c>
      <c r="H22" s="18" t="s">
        <v>0</v>
      </c>
      <c r="I22" s="156">
        <f t="shared" si="1"/>
        <v>226.8</v>
      </c>
      <c r="J22" s="9">
        <f t="shared" si="2"/>
        <v>204.12</v>
      </c>
      <c r="K22" s="252"/>
      <c r="M22" s="11"/>
      <c r="N22" s="11"/>
    </row>
    <row r="23" spans="2:16" ht="21.2" customHeight="1" x14ac:dyDescent="0.25">
      <c r="B23" s="5" t="s">
        <v>22</v>
      </c>
      <c r="C23" s="28" t="s">
        <v>283</v>
      </c>
      <c r="D23" s="44">
        <v>7</v>
      </c>
      <c r="E23" s="35">
        <v>0.04</v>
      </c>
      <c r="F23" s="36">
        <v>185</v>
      </c>
      <c r="G23" s="562">
        <f t="shared" si="0"/>
        <v>12.95</v>
      </c>
      <c r="H23" s="18" t="s">
        <v>0</v>
      </c>
      <c r="I23" s="156">
        <f t="shared" si="1"/>
        <v>51.800000000000004</v>
      </c>
      <c r="J23" s="9">
        <f t="shared" si="2"/>
        <v>46.620000000000005</v>
      </c>
      <c r="K23" s="252"/>
      <c r="M23" s="11"/>
      <c r="N23" s="11"/>
    </row>
    <row r="24" spans="2:16" ht="21.2" customHeight="1" x14ac:dyDescent="0.25">
      <c r="B24" s="451" t="s">
        <v>35</v>
      </c>
      <c r="C24" s="452" t="s">
        <v>47</v>
      </c>
      <c r="D24" s="453">
        <v>4</v>
      </c>
      <c r="E24" s="454">
        <v>0.18</v>
      </c>
      <c r="F24" s="455">
        <v>180</v>
      </c>
      <c r="G24" s="563">
        <f t="shared" si="0"/>
        <v>7.2</v>
      </c>
      <c r="H24" s="457" t="s">
        <v>0</v>
      </c>
      <c r="I24" s="553">
        <f t="shared" si="1"/>
        <v>129.6</v>
      </c>
      <c r="J24" s="554">
        <f t="shared" si="2"/>
        <v>116.64</v>
      </c>
      <c r="K24" s="252" t="s">
        <v>228</v>
      </c>
      <c r="M24" s="11"/>
      <c r="N24" s="627">
        <f>SUM(I19:I24)</f>
        <v>857.1</v>
      </c>
      <c r="P24" s="616"/>
    </row>
    <row r="25" spans="2:16" ht="21.2" customHeight="1" x14ac:dyDescent="0.25">
      <c r="B25" s="14" t="s">
        <v>11</v>
      </c>
      <c r="C25" s="32" t="s">
        <v>42</v>
      </c>
      <c r="D25" s="99">
        <v>8</v>
      </c>
      <c r="E25" s="100">
        <v>0.1</v>
      </c>
      <c r="F25" s="38">
        <v>365</v>
      </c>
      <c r="G25" s="564">
        <f t="shared" si="0"/>
        <v>29.2</v>
      </c>
      <c r="H25" s="19" t="s">
        <v>0</v>
      </c>
      <c r="I25" s="152">
        <f t="shared" si="1"/>
        <v>292</v>
      </c>
      <c r="J25" s="10">
        <f t="shared" si="2"/>
        <v>262.8</v>
      </c>
      <c r="K25" s="252"/>
      <c r="M25" s="11"/>
      <c r="N25" s="626"/>
    </row>
    <row r="26" spans="2:16" ht="21.2" customHeight="1" x14ac:dyDescent="0.25">
      <c r="B26" s="5" t="s">
        <v>11</v>
      </c>
      <c r="C26" s="28"/>
      <c r="D26" s="99"/>
      <c r="E26" s="100"/>
      <c r="F26" s="36"/>
      <c r="G26" s="64">
        <f t="shared" si="0"/>
        <v>0</v>
      </c>
      <c r="H26" s="19" t="s">
        <v>0</v>
      </c>
      <c r="I26" s="156">
        <f>D26*E26*F26</f>
        <v>0</v>
      </c>
      <c r="J26" s="9">
        <f t="shared" si="2"/>
        <v>0</v>
      </c>
      <c r="K26" s="1" t="s">
        <v>315</v>
      </c>
      <c r="L26" s="2"/>
      <c r="M26" s="11"/>
      <c r="N26" s="626">
        <f>SUM(I25:I26)</f>
        <v>292</v>
      </c>
      <c r="P26" s="616"/>
    </row>
    <row r="27" spans="2:16" ht="21.2" customHeight="1" x14ac:dyDescent="0.25">
      <c r="B27" s="14" t="s">
        <v>10</v>
      </c>
      <c r="C27" s="37" t="s">
        <v>27</v>
      </c>
      <c r="D27" s="38">
        <v>100</v>
      </c>
      <c r="E27" s="618">
        <v>2</v>
      </c>
      <c r="F27" s="36">
        <v>365</v>
      </c>
      <c r="G27" s="617">
        <f>D27*F27/1000</f>
        <v>36.5</v>
      </c>
      <c r="H27" s="20" t="s">
        <v>0</v>
      </c>
      <c r="I27" s="152">
        <f>D27*E27*F27/1000</f>
        <v>73</v>
      </c>
      <c r="J27" s="9">
        <f t="shared" si="2"/>
        <v>65.7</v>
      </c>
      <c r="K27" s="252"/>
    </row>
    <row r="28" spans="2:16" ht="21.2" hidden="1" customHeight="1" x14ac:dyDescent="0.25">
      <c r="B28" s="5" t="s">
        <v>1</v>
      </c>
      <c r="C28" s="6"/>
      <c r="D28" s="105" t="s">
        <v>124</v>
      </c>
      <c r="E28" s="45"/>
      <c r="F28" s="47"/>
      <c r="G28" s="144"/>
      <c r="H28" s="145" t="s">
        <v>0</v>
      </c>
      <c r="I28" s="154"/>
      <c r="J28" s="143"/>
      <c r="K28" s="252"/>
    </row>
    <row r="29" spans="2:16" ht="21.2" customHeight="1" x14ac:dyDescent="0.25">
      <c r="B29" s="46"/>
      <c r="C29" s="47"/>
      <c r="D29" s="22" t="s">
        <v>23</v>
      </c>
      <c r="E29" s="22" t="s">
        <v>164</v>
      </c>
      <c r="F29" s="22" t="s">
        <v>24</v>
      </c>
      <c r="G29" s="169"/>
      <c r="H29" s="49"/>
      <c r="I29" s="157"/>
      <c r="J29" s="50"/>
      <c r="K29" s="252"/>
    </row>
    <row r="30" spans="2:16" ht="21.2" customHeight="1" x14ac:dyDescent="0.25">
      <c r="B30" s="5" t="s">
        <v>12</v>
      </c>
      <c r="C30" s="6" t="s">
        <v>16</v>
      </c>
      <c r="D30" s="36">
        <v>300</v>
      </c>
      <c r="E30" s="35">
        <v>0.3</v>
      </c>
      <c r="F30" s="65">
        <v>1</v>
      </c>
      <c r="G30" s="29"/>
      <c r="H30" s="18" t="s">
        <v>0</v>
      </c>
      <c r="I30" s="156">
        <f t="shared" ref="I30:I40" si="3">D30*E30*F30</f>
        <v>90</v>
      </c>
      <c r="J30" s="9">
        <f>I30*$J$6</f>
        <v>81</v>
      </c>
      <c r="K30" s="252"/>
    </row>
    <row r="31" spans="2:16" ht="21.2" customHeight="1" x14ac:dyDescent="0.25">
      <c r="B31" s="5" t="s">
        <v>8</v>
      </c>
      <c r="C31" s="6"/>
      <c r="D31" s="36"/>
      <c r="E31" s="39"/>
      <c r="F31" s="65">
        <f t="shared" ref="F31:F41" si="4">$F$30</f>
        <v>1</v>
      </c>
      <c r="G31" s="29"/>
      <c r="H31" s="18" t="s">
        <v>0</v>
      </c>
      <c r="I31" s="156">
        <f t="shared" si="3"/>
        <v>0</v>
      </c>
      <c r="J31" s="9">
        <f t="shared" ref="J31:J40" si="5">I31*$J$6</f>
        <v>0</v>
      </c>
      <c r="K31" s="252"/>
    </row>
    <row r="32" spans="2:16" ht="21.2" customHeight="1" x14ac:dyDescent="0.25">
      <c r="B32" s="5" t="s">
        <v>7</v>
      </c>
      <c r="C32" s="28"/>
      <c r="D32" s="34"/>
      <c r="E32" s="39"/>
      <c r="F32" s="65">
        <f t="shared" si="4"/>
        <v>1</v>
      </c>
      <c r="G32" s="29"/>
      <c r="H32" s="18" t="s">
        <v>0</v>
      </c>
      <c r="I32" s="156">
        <f t="shared" si="3"/>
        <v>0</v>
      </c>
      <c r="J32" s="9">
        <f t="shared" si="5"/>
        <v>0</v>
      </c>
      <c r="K32" s="252"/>
    </row>
    <row r="33" spans="2:17" ht="21.2" customHeight="1" x14ac:dyDescent="0.25">
      <c r="B33" s="5" t="s">
        <v>15</v>
      </c>
      <c r="C33" s="28" t="s">
        <v>174</v>
      </c>
      <c r="D33" s="34">
        <f>2*365/50</f>
        <v>14.6</v>
      </c>
      <c r="E33" s="39">
        <v>7</v>
      </c>
      <c r="F33" s="65">
        <f t="shared" si="4"/>
        <v>1</v>
      </c>
      <c r="G33" s="29" t="s">
        <v>338</v>
      </c>
      <c r="H33" s="18" t="s">
        <v>0</v>
      </c>
      <c r="I33" s="156">
        <f t="shared" si="3"/>
        <v>102.2</v>
      </c>
      <c r="J33" s="9">
        <f t="shared" si="5"/>
        <v>91.98</v>
      </c>
      <c r="K33" s="252"/>
    </row>
    <row r="34" spans="2:17" ht="21.2" customHeight="1" x14ac:dyDescent="0.25">
      <c r="B34" s="5" t="s">
        <v>9</v>
      </c>
      <c r="C34" s="28"/>
      <c r="D34" s="34">
        <v>1</v>
      </c>
      <c r="E34" s="39">
        <v>70</v>
      </c>
      <c r="F34" s="65">
        <f t="shared" si="4"/>
        <v>1</v>
      </c>
      <c r="G34" s="29"/>
      <c r="H34" s="18" t="s">
        <v>0</v>
      </c>
      <c r="I34" s="156">
        <f t="shared" si="3"/>
        <v>70</v>
      </c>
      <c r="J34" s="9">
        <f t="shared" si="5"/>
        <v>63</v>
      </c>
      <c r="K34" s="252"/>
    </row>
    <row r="35" spans="2:17" ht="21.2" customHeight="1" x14ac:dyDescent="0.25">
      <c r="B35" s="5" t="s">
        <v>163</v>
      </c>
      <c r="C35" s="28"/>
      <c r="D35" s="34"/>
      <c r="E35" s="39"/>
      <c r="F35" s="65">
        <f t="shared" si="4"/>
        <v>1</v>
      </c>
      <c r="G35" s="29"/>
      <c r="H35" s="18" t="s">
        <v>0</v>
      </c>
      <c r="I35" s="156">
        <f t="shared" si="3"/>
        <v>0</v>
      </c>
      <c r="J35" s="9">
        <f t="shared" si="5"/>
        <v>0</v>
      </c>
      <c r="K35" s="252"/>
    </row>
    <row r="36" spans="2:17" ht="21.2" customHeight="1" x14ac:dyDescent="0.25">
      <c r="B36" s="5" t="s">
        <v>13</v>
      </c>
      <c r="C36" s="28"/>
      <c r="D36" s="34">
        <v>1</v>
      </c>
      <c r="E36" s="39">
        <v>40</v>
      </c>
      <c r="F36" s="65">
        <f t="shared" si="4"/>
        <v>1</v>
      </c>
      <c r="G36" s="29"/>
      <c r="H36" s="18" t="s">
        <v>0</v>
      </c>
      <c r="I36" s="156">
        <f t="shared" si="3"/>
        <v>40</v>
      </c>
      <c r="J36" s="9">
        <f t="shared" si="5"/>
        <v>36</v>
      </c>
      <c r="K36" s="252"/>
      <c r="N36" s="1" t="s">
        <v>26</v>
      </c>
    </row>
    <row r="37" spans="2:17" ht="21.2" customHeight="1" x14ac:dyDescent="0.25">
      <c r="B37" s="5" t="s">
        <v>14</v>
      </c>
      <c r="C37" s="28"/>
      <c r="D37" s="34">
        <v>1</v>
      </c>
      <c r="E37" s="39">
        <v>5</v>
      </c>
      <c r="F37" s="65">
        <f t="shared" si="4"/>
        <v>1</v>
      </c>
      <c r="G37" s="29"/>
      <c r="H37" s="18" t="s">
        <v>0</v>
      </c>
      <c r="I37" s="156">
        <f t="shared" si="3"/>
        <v>5</v>
      </c>
      <c r="J37" s="9">
        <f t="shared" si="5"/>
        <v>4.5</v>
      </c>
      <c r="K37" s="252"/>
    </row>
    <row r="38" spans="2:17" ht="21.2" customHeight="1" x14ac:dyDescent="0.25">
      <c r="B38" s="5" t="s">
        <v>33</v>
      </c>
      <c r="C38" s="28"/>
      <c r="D38" s="34"/>
      <c r="E38" s="39"/>
      <c r="F38" s="65">
        <f t="shared" si="4"/>
        <v>1</v>
      </c>
      <c r="G38" s="29"/>
      <c r="H38" s="18" t="s">
        <v>0</v>
      </c>
      <c r="I38" s="156">
        <f t="shared" si="3"/>
        <v>0</v>
      </c>
      <c r="J38" s="9">
        <f t="shared" si="5"/>
        <v>0</v>
      </c>
      <c r="K38" s="252"/>
    </row>
    <row r="39" spans="2:17" ht="21.2" customHeight="1" x14ac:dyDescent="0.25">
      <c r="B39" s="7" t="s">
        <v>2</v>
      </c>
      <c r="C39" s="30"/>
      <c r="D39" s="34"/>
      <c r="E39" s="39"/>
      <c r="F39" s="65">
        <f t="shared" si="4"/>
        <v>1</v>
      </c>
      <c r="G39" s="31"/>
      <c r="H39" s="18" t="s">
        <v>0</v>
      </c>
      <c r="I39" s="156">
        <f t="shared" si="3"/>
        <v>0</v>
      </c>
      <c r="J39" s="9">
        <f t="shared" si="5"/>
        <v>0</v>
      </c>
      <c r="K39" s="252"/>
      <c r="M39" s="11"/>
    </row>
    <row r="40" spans="2:17" ht="21.2" customHeight="1" x14ac:dyDescent="0.25">
      <c r="B40" s="193" t="s">
        <v>2</v>
      </c>
      <c r="C40" s="194"/>
      <c r="D40" s="34"/>
      <c r="E40" s="39"/>
      <c r="F40" s="65">
        <f t="shared" si="4"/>
        <v>1</v>
      </c>
      <c r="G40" s="31"/>
      <c r="H40" s="18" t="s">
        <v>0</v>
      </c>
      <c r="I40" s="156">
        <f t="shared" si="3"/>
        <v>0</v>
      </c>
      <c r="J40" s="9">
        <f t="shared" si="5"/>
        <v>0</v>
      </c>
      <c r="K40" s="252"/>
      <c r="M40" s="11"/>
    </row>
    <row r="41" spans="2:17" ht="21.2" customHeight="1" x14ac:dyDescent="0.25">
      <c r="B41" s="193" t="s">
        <v>2</v>
      </c>
      <c r="C41" s="194"/>
      <c r="D41" s="34"/>
      <c r="E41" s="39"/>
      <c r="F41" s="65">
        <f t="shared" si="4"/>
        <v>1</v>
      </c>
      <c r="G41" s="31"/>
      <c r="H41" s="18" t="s">
        <v>0</v>
      </c>
      <c r="I41" s="156">
        <f>D41*E41*F41</f>
        <v>0</v>
      </c>
      <c r="J41" s="9">
        <f>I41*$J$6</f>
        <v>0</v>
      </c>
      <c r="K41" s="252"/>
      <c r="M41" s="11"/>
    </row>
    <row r="42" spans="2:17" ht="24.75" customHeight="1" thickBot="1" x14ac:dyDescent="0.35">
      <c r="B42" s="885" t="s">
        <v>62</v>
      </c>
      <c r="C42" s="886"/>
      <c r="D42" s="886"/>
      <c r="E42" s="886"/>
      <c r="F42" s="886"/>
      <c r="G42" s="887"/>
      <c r="H42" s="21" t="s">
        <v>0</v>
      </c>
      <c r="I42" s="158">
        <f>SUM(I17:I41)</f>
        <v>1529.3</v>
      </c>
      <c r="J42" s="104">
        <f>SUM(J17:J40)</f>
        <v>1376.3700000000001</v>
      </c>
      <c r="K42" s="253"/>
      <c r="M42" s="11"/>
    </row>
    <row r="43" spans="2:17" ht="28.5" customHeight="1" thickTop="1" thickBot="1" x14ac:dyDescent="0.4">
      <c r="B43" s="73" t="s">
        <v>127</v>
      </c>
      <c r="C43" s="74"/>
      <c r="D43" s="70"/>
      <c r="E43" s="70"/>
      <c r="F43" s="70"/>
      <c r="G43" s="70"/>
      <c r="H43" s="71" t="s">
        <v>0</v>
      </c>
      <c r="I43" s="159">
        <f>I15-I42</f>
        <v>3411.876470588235</v>
      </c>
      <c r="J43" s="72">
        <f>J15-J42</f>
        <v>3070.6888235294118</v>
      </c>
      <c r="K43" s="254"/>
      <c r="L43" s="13"/>
      <c r="M43" s="8"/>
      <c r="N43" s="276" t="s">
        <v>291</v>
      </c>
    </row>
    <row r="44" spans="2:17" ht="23.25" customHeight="1" x14ac:dyDescent="0.25">
      <c r="B44" s="888" t="s">
        <v>56</v>
      </c>
      <c r="C44" s="889"/>
      <c r="D44" s="82">
        <v>120</v>
      </c>
      <c r="E44" s="76" t="s">
        <v>63</v>
      </c>
      <c r="F44" s="96">
        <v>18</v>
      </c>
      <c r="G44" s="93" t="s">
        <v>48</v>
      </c>
      <c r="H44" s="77" t="s">
        <v>0</v>
      </c>
      <c r="I44" s="160">
        <f>D44*F44</f>
        <v>2160</v>
      </c>
      <c r="J44" s="78">
        <f>I44*$J$6</f>
        <v>1944</v>
      </c>
      <c r="K44" s="255"/>
      <c r="L44" s="13"/>
      <c r="M44" s="8"/>
      <c r="N44" s="546" t="s">
        <v>279</v>
      </c>
      <c r="O44" s="857" t="s">
        <v>280</v>
      </c>
      <c r="P44" s="857"/>
      <c r="Q44" s="547" t="s">
        <v>281</v>
      </c>
    </row>
    <row r="45" spans="2:17" ht="23.25" customHeight="1" x14ac:dyDescent="0.25">
      <c r="B45" s="890" t="s">
        <v>52</v>
      </c>
      <c r="C45" s="891"/>
      <c r="D45" s="488">
        <v>7000</v>
      </c>
      <c r="E45" s="79" t="s">
        <v>255</v>
      </c>
      <c r="F45" s="549">
        <f>SUM(N45:Q45)*100</f>
        <v>6.0000000000000009</v>
      </c>
      <c r="G45" s="94" t="s">
        <v>254</v>
      </c>
      <c r="H45" s="80" t="s">
        <v>0</v>
      </c>
      <c r="I45" s="161">
        <f>D45*F45/100</f>
        <v>420.00000000000006</v>
      </c>
      <c r="J45" s="81">
        <f>I45</f>
        <v>420.00000000000006</v>
      </c>
      <c r="K45" s="255"/>
      <c r="L45" s="13"/>
      <c r="M45" s="225" t="s">
        <v>318</v>
      </c>
      <c r="N45" s="615">
        <v>0.03</v>
      </c>
      <c r="O45" s="925">
        <v>0.02</v>
      </c>
      <c r="P45" s="926"/>
      <c r="Q45" s="615">
        <v>0.01</v>
      </c>
    </row>
    <row r="46" spans="2:17" ht="23.25" customHeight="1" x14ac:dyDescent="0.25">
      <c r="B46" s="890" t="s">
        <v>53</v>
      </c>
      <c r="C46" s="891"/>
      <c r="D46" s="488">
        <v>6000</v>
      </c>
      <c r="E46" s="79" t="s">
        <v>255</v>
      </c>
      <c r="F46" s="549">
        <f>SUM(N46:Q46)*100</f>
        <v>6.5</v>
      </c>
      <c r="G46" s="94" t="s">
        <v>254</v>
      </c>
      <c r="H46" s="80" t="s">
        <v>0</v>
      </c>
      <c r="I46" s="161">
        <f>D46*F46/100</f>
        <v>390</v>
      </c>
      <c r="J46" s="81">
        <f>I46</f>
        <v>390</v>
      </c>
      <c r="K46" s="255"/>
      <c r="L46" s="13"/>
      <c r="M46" s="225" t="s">
        <v>319</v>
      </c>
      <c r="N46" s="615">
        <v>2.5000000000000001E-2</v>
      </c>
      <c r="O46" s="925">
        <v>0.02</v>
      </c>
      <c r="P46" s="926"/>
      <c r="Q46" s="615">
        <v>0.02</v>
      </c>
    </row>
    <row r="47" spans="2:17" ht="23.25" customHeight="1" x14ac:dyDescent="0.25">
      <c r="B47" s="890" t="s">
        <v>135</v>
      </c>
      <c r="C47" s="891"/>
      <c r="D47" s="488">
        <v>1000</v>
      </c>
      <c r="E47" s="79" t="s">
        <v>255</v>
      </c>
      <c r="F47" s="549">
        <f>SUM(N47:Q47)*100</f>
        <v>10</v>
      </c>
      <c r="G47" s="94" t="s">
        <v>254</v>
      </c>
      <c r="H47" s="80" t="s">
        <v>0</v>
      </c>
      <c r="I47" s="161">
        <f>D47*F47/100</f>
        <v>100</v>
      </c>
      <c r="J47" s="81">
        <f>I47</f>
        <v>100</v>
      </c>
      <c r="K47" s="255"/>
      <c r="L47" s="13"/>
      <c r="M47" s="225" t="s">
        <v>320</v>
      </c>
      <c r="N47" s="615">
        <v>0.08</v>
      </c>
      <c r="O47" s="925">
        <v>0.02</v>
      </c>
      <c r="P47" s="926"/>
      <c r="Q47" s="619"/>
    </row>
    <row r="48" spans="2:17" ht="23.25" customHeight="1" x14ac:dyDescent="0.25">
      <c r="B48" s="890" t="s">
        <v>391</v>
      </c>
      <c r="C48" s="891"/>
      <c r="D48" s="630">
        <v>0.1</v>
      </c>
      <c r="E48" s="79" t="s">
        <v>64</v>
      </c>
      <c r="F48" s="97">
        <v>200</v>
      </c>
      <c r="G48" s="94" t="s">
        <v>34</v>
      </c>
      <c r="H48" s="80" t="s">
        <v>0</v>
      </c>
      <c r="I48" s="161">
        <f>D48*F48</f>
        <v>20</v>
      </c>
      <c r="J48" s="81">
        <f>I48</f>
        <v>20</v>
      </c>
      <c r="K48" s="255"/>
      <c r="L48" s="13"/>
      <c r="M48" s="8"/>
      <c r="N48" s="43"/>
    </row>
    <row r="49" spans="2:20" ht="23.25" customHeight="1" x14ac:dyDescent="0.25">
      <c r="B49" s="898" t="s">
        <v>137</v>
      </c>
      <c r="C49" s="899"/>
      <c r="D49" s="488">
        <v>25000</v>
      </c>
      <c r="E49" s="79" t="s">
        <v>256</v>
      </c>
      <c r="F49" s="488">
        <v>300</v>
      </c>
      <c r="G49" s="95" t="s">
        <v>257</v>
      </c>
      <c r="H49" s="19" t="s">
        <v>0</v>
      </c>
      <c r="I49" s="162">
        <f>F49</f>
        <v>300</v>
      </c>
      <c r="J49" s="81">
        <f>I49</f>
        <v>300</v>
      </c>
      <c r="K49" s="255"/>
      <c r="L49" s="13"/>
      <c r="M49" s="8"/>
      <c r="N49" s="43"/>
    </row>
    <row r="50" spans="2:20" ht="23.25" customHeight="1" thickBot="1" x14ac:dyDescent="0.35">
      <c r="B50" s="892" t="s">
        <v>65</v>
      </c>
      <c r="C50" s="893"/>
      <c r="D50" s="893"/>
      <c r="E50" s="893"/>
      <c r="F50" s="893"/>
      <c r="G50" s="894"/>
      <c r="H50" s="770" t="s">
        <v>0</v>
      </c>
      <c r="I50" s="772">
        <f>SUM(I44:I49)</f>
        <v>3390</v>
      </c>
      <c r="J50" s="88">
        <f>SUM(J44:J49)</f>
        <v>3174</v>
      </c>
      <c r="L50" s="256"/>
      <c r="M50" s="252"/>
      <c r="N50" s="257"/>
      <c r="O50" s="4"/>
      <c r="P50" s="4"/>
      <c r="Q50" s="4"/>
      <c r="R50" s="4"/>
      <c r="S50" s="4"/>
      <c r="T50" s="4"/>
    </row>
    <row r="51" spans="2:20" ht="23.25" customHeight="1" thickBot="1" x14ac:dyDescent="0.35">
      <c r="B51" s="764" t="s">
        <v>379</v>
      </c>
      <c r="C51" s="765"/>
      <c r="D51" s="765"/>
      <c r="E51" s="765"/>
      <c r="F51" s="765"/>
      <c r="G51" s="766"/>
      <c r="H51" s="767"/>
      <c r="I51" s="769">
        <f>I42+I50</f>
        <v>4919.3</v>
      </c>
      <c r="J51" s="768">
        <f>J42+J50</f>
        <v>4550.37</v>
      </c>
      <c r="L51" s="256"/>
      <c r="M51" s="252"/>
      <c r="N51" s="257"/>
      <c r="O51" s="4"/>
      <c r="P51" s="4"/>
      <c r="Q51" s="4"/>
      <c r="R51" s="4"/>
      <c r="S51" s="4"/>
      <c r="T51" s="4"/>
    </row>
    <row r="52" spans="2:20" ht="25.5" customHeight="1" thickTop="1" x14ac:dyDescent="0.3">
      <c r="B52" s="970" t="s">
        <v>409</v>
      </c>
      <c r="C52" s="919"/>
      <c r="D52" s="919"/>
      <c r="E52" s="919"/>
      <c r="F52" s="919"/>
      <c r="G52" s="920"/>
      <c r="H52" s="149" t="s">
        <v>0</v>
      </c>
      <c r="I52" s="210">
        <f>I15-I51</f>
        <v>21.876470588234952</v>
      </c>
      <c r="J52" s="211">
        <f>J15-J51</f>
        <v>-103.31117647058818</v>
      </c>
      <c r="L52" s="916" t="s">
        <v>213</v>
      </c>
      <c r="M52" s="917"/>
      <c r="N52" s="917"/>
      <c r="O52" s="917"/>
      <c r="P52" s="917"/>
      <c r="Q52" s="917"/>
      <c r="R52" s="917"/>
      <c r="S52" s="917"/>
      <c r="T52" s="917"/>
    </row>
    <row r="53" spans="2:20" ht="25.5" customHeight="1" x14ac:dyDescent="0.3">
      <c r="B53" s="212" t="s">
        <v>191</v>
      </c>
      <c r="C53" s="213"/>
      <c r="D53" s="213"/>
      <c r="E53" s="213"/>
      <c r="F53" s="213"/>
      <c r="G53" s="213" t="s">
        <v>154</v>
      </c>
      <c r="H53" s="214" t="s">
        <v>0</v>
      </c>
      <c r="I53" s="215">
        <f>I52+I44</f>
        <v>2181.876470588235</v>
      </c>
      <c r="J53" s="216">
        <f>(J52+J44)</f>
        <v>1840.6888235294118</v>
      </c>
      <c r="L53" s="917"/>
      <c r="M53" s="917"/>
      <c r="N53" s="917"/>
      <c r="O53" s="917"/>
      <c r="P53" s="917"/>
      <c r="Q53" s="917"/>
      <c r="R53" s="917"/>
      <c r="S53" s="917"/>
      <c r="T53" s="917"/>
    </row>
    <row r="54" spans="2:20" ht="25.5" customHeight="1" thickBot="1" x14ac:dyDescent="0.35">
      <c r="B54" s="207"/>
      <c r="C54" s="208"/>
      <c r="D54" s="208"/>
      <c r="E54" s="208"/>
      <c r="F54" s="208"/>
      <c r="G54" s="208" t="s">
        <v>192</v>
      </c>
      <c r="H54" s="209" t="s">
        <v>0</v>
      </c>
      <c r="I54" s="249">
        <f>I53/D44</f>
        <v>18.182303921568625</v>
      </c>
      <c r="J54" s="228">
        <f>J53/D44/J6</f>
        <v>17.043415032679739</v>
      </c>
      <c r="L54" s="917"/>
      <c r="M54" s="917"/>
      <c r="N54" s="917"/>
      <c r="O54" s="917"/>
      <c r="P54" s="917"/>
      <c r="Q54" s="917"/>
      <c r="R54" s="917"/>
      <c r="S54" s="917"/>
      <c r="T54" s="917"/>
    </row>
    <row r="55" spans="2:20" ht="29.25" customHeight="1" thickTop="1" x14ac:dyDescent="0.4">
      <c r="B55" s="178" t="s">
        <v>153</v>
      </c>
      <c r="C55" s="171"/>
      <c r="D55" s="171"/>
      <c r="E55" s="171"/>
      <c r="F55" s="171"/>
      <c r="G55" s="172" t="s">
        <v>49</v>
      </c>
      <c r="H55" s="150" t="s">
        <v>0</v>
      </c>
      <c r="I55" s="163">
        <f>(I42+I50-I11-I12-I13-I14)/D10</f>
        <v>351.11813725490197</v>
      </c>
      <c r="J55" s="151">
        <f>(J42+J50-J11-J12-J13-J14)/(D10*J6)</f>
        <v>362.50702614379082</v>
      </c>
      <c r="L55" s="13"/>
      <c r="M55" s="8"/>
      <c r="N55" s="43"/>
    </row>
    <row r="56" spans="2:20" ht="29.25" customHeight="1" thickBot="1" x14ac:dyDescent="0.45">
      <c r="B56" s="179" t="s">
        <v>311</v>
      </c>
      <c r="C56" s="170"/>
      <c r="D56" s="170"/>
      <c r="E56" s="170"/>
      <c r="F56" s="170"/>
      <c r="G56" s="180" t="s">
        <v>43</v>
      </c>
      <c r="H56" s="168" t="s">
        <v>0</v>
      </c>
      <c r="I56" s="175">
        <f>I55*$R$12</f>
        <v>417.83058333333332</v>
      </c>
      <c r="J56" s="176">
        <f>J55*$R$12</f>
        <v>431.38336111111107</v>
      </c>
    </row>
    <row r="58" spans="2:20" x14ac:dyDescent="0.25">
      <c r="F58" s="11"/>
      <c r="G58" s="1"/>
    </row>
  </sheetData>
  <sheetProtection sheet="1" objects="1" scenarios="1"/>
  <mergeCells count="26">
    <mergeCell ref="I16:J16"/>
    <mergeCell ref="L16:R16"/>
    <mergeCell ref="B42:G42"/>
    <mergeCell ref="B44:C44"/>
    <mergeCell ref="B2:J2"/>
    <mergeCell ref="B3:C3"/>
    <mergeCell ref="D3:E3"/>
    <mergeCell ref="M3:Q3"/>
    <mergeCell ref="B4:C5"/>
    <mergeCell ref="D4:D6"/>
    <mergeCell ref="E4:E6"/>
    <mergeCell ref="F4:J4"/>
    <mergeCell ref="F5:J5"/>
    <mergeCell ref="F6:G6"/>
    <mergeCell ref="O44:P44"/>
    <mergeCell ref="B45:C45"/>
    <mergeCell ref="O45:P45"/>
    <mergeCell ref="B50:G50"/>
    <mergeCell ref="B52:G52"/>
    <mergeCell ref="L52:T54"/>
    <mergeCell ref="B46:C46"/>
    <mergeCell ref="O46:P46"/>
    <mergeCell ref="B47:C47"/>
    <mergeCell ref="O47:P47"/>
    <mergeCell ref="B48:C48"/>
    <mergeCell ref="B49:C49"/>
  </mergeCells>
  <printOptions headings="1"/>
  <pageMargins left="0.51181102362204722" right="0.51181102362204722" top="0.39370078740157483" bottom="0.39370078740157483" header="0.31496062992125984" footer="0.31496062992125984"/>
  <pageSetup paperSize="9" scale="65" orientation="portrait" verticalDpi="1200" r:id="rId1"/>
  <headerFooter>
    <oddFooter>&amp;L&amp;F&amp;C&amp;A&amp;R&amp;D</oddFooter>
  </headerFooter>
  <rowBreaks count="1" manualBreakCount="1">
    <brk id="55"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61"/>
  <sheetViews>
    <sheetView showGridLines="0" showZeros="0" zoomScale="70" zoomScaleNormal="70" zoomScaleSheetLayoutView="58" workbookViewId="0">
      <selection activeCell="J67" sqref="J67"/>
    </sheetView>
  </sheetViews>
  <sheetFormatPr baseColWidth="10" defaultColWidth="11.28515625" defaultRowHeight="18" x14ac:dyDescent="0.25"/>
  <cols>
    <col min="1" max="1" width="1.85546875" style="276" customWidth="1"/>
    <col min="2" max="2" width="26" style="276" customWidth="1"/>
    <col min="3" max="3" width="33.85546875" style="276" customWidth="1"/>
    <col min="4" max="4" width="16.140625" style="276" customWidth="1"/>
    <col min="5" max="5" width="21.7109375" style="276" customWidth="1"/>
    <col min="6" max="6" width="17.7109375" style="276" customWidth="1"/>
    <col min="7" max="7" width="21.85546875" style="277" customWidth="1"/>
    <col min="8" max="8" width="6.7109375" style="276" customWidth="1"/>
    <col min="9" max="9" width="14.7109375" style="276" customWidth="1"/>
    <col min="10" max="10" width="13.42578125" style="276" customWidth="1"/>
    <col min="11" max="11" width="8.7109375" style="276" customWidth="1"/>
    <col min="12" max="12" width="37.42578125" style="276" customWidth="1"/>
    <col min="13" max="13" width="14.28515625" style="276" customWidth="1"/>
    <col min="14" max="14" width="14.85546875" style="276" customWidth="1"/>
    <col min="15" max="16" width="16.28515625" style="276" customWidth="1"/>
    <col min="17" max="17" width="16" style="276" customWidth="1"/>
    <col min="18" max="18" width="17" style="276" customWidth="1"/>
    <col min="19" max="19" width="13.5703125" style="276" customWidth="1"/>
    <col min="20" max="20" width="11.28515625" style="276" customWidth="1"/>
    <col min="21" max="21" width="17.7109375" style="276" customWidth="1"/>
    <col min="22" max="28" width="11.28515625" style="276" customWidth="1"/>
    <col min="29" max="16384" width="11.28515625" style="276"/>
  </cols>
  <sheetData>
    <row r="1" spans="2:21" ht="5.25" customHeight="1" thickBot="1" x14ac:dyDescent="0.3"/>
    <row r="2" spans="2:21" ht="36" customHeight="1" thickBot="1" x14ac:dyDescent="0.3">
      <c r="B2" s="927" t="s">
        <v>301</v>
      </c>
      <c r="C2" s="928"/>
      <c r="D2" s="928"/>
      <c r="E2" s="928"/>
      <c r="F2" s="928"/>
      <c r="G2" s="928"/>
      <c r="H2" s="928"/>
      <c r="I2" s="929"/>
    </row>
    <row r="3" spans="2:21" s="518" customFormat="1" ht="40.9" customHeight="1" x14ac:dyDescent="0.25">
      <c r="B3" s="988" t="s">
        <v>59</v>
      </c>
      <c r="C3" s="989"/>
      <c r="D3" s="990" t="s">
        <v>178</v>
      </c>
      <c r="E3" s="991"/>
      <c r="F3" s="632" t="s">
        <v>177</v>
      </c>
      <c r="G3" s="633" t="s">
        <v>175</v>
      </c>
      <c r="H3" s="632"/>
      <c r="I3" s="634" t="s">
        <v>415</v>
      </c>
      <c r="J3" s="1015" t="s">
        <v>189</v>
      </c>
      <c r="K3" s="1016"/>
      <c r="L3" s="1018" t="s">
        <v>411</v>
      </c>
      <c r="M3" s="1018"/>
      <c r="N3" s="1018"/>
      <c r="O3" s="1018"/>
      <c r="P3" s="1018"/>
      <c r="Q3" s="1018"/>
    </row>
    <row r="4" spans="2:21" s="518" customFormat="1" ht="22.9" customHeight="1" x14ac:dyDescent="0.25">
      <c r="B4" s="992"/>
      <c r="C4" s="993"/>
      <c r="D4" s="996"/>
      <c r="E4" s="998"/>
      <c r="F4" s="1000" t="s">
        <v>4</v>
      </c>
      <c r="G4" s="1001"/>
      <c r="H4" s="1001"/>
      <c r="I4" s="1002"/>
      <c r="J4" s="1015"/>
      <c r="K4" s="1016"/>
      <c r="L4" s="1018"/>
      <c r="M4" s="1018"/>
      <c r="N4" s="1018"/>
      <c r="O4" s="1018"/>
      <c r="P4" s="1018"/>
      <c r="Q4" s="1018"/>
    </row>
    <row r="5" spans="2:21" s="518" customFormat="1" ht="69.599999999999994" customHeight="1" thickBot="1" x14ac:dyDescent="0.3">
      <c r="B5" s="994"/>
      <c r="C5" s="995"/>
      <c r="D5" s="997"/>
      <c r="E5" s="999"/>
      <c r="F5" s="1003" t="s">
        <v>386</v>
      </c>
      <c r="G5" s="1004"/>
      <c r="H5" s="1005"/>
      <c r="I5" s="1006"/>
      <c r="J5" s="979" t="s">
        <v>358</v>
      </c>
      <c r="K5" s="980"/>
      <c r="L5" s="1017" t="s">
        <v>443</v>
      </c>
      <c r="M5" s="1017"/>
      <c r="N5" s="1017"/>
      <c r="O5" s="1017"/>
      <c r="P5" s="1017"/>
      <c r="Q5" s="1017"/>
      <c r="R5" s="1017"/>
      <c r="S5" s="1017"/>
      <c r="T5" s="1017"/>
      <c r="U5" s="1017"/>
    </row>
    <row r="6" spans="2:21" s="637" customFormat="1" ht="25.15" customHeight="1" thickBot="1" x14ac:dyDescent="0.3">
      <c r="B6" s="983" t="s">
        <v>157</v>
      </c>
      <c r="C6" s="984"/>
      <c r="D6" s="984"/>
      <c r="E6" s="985"/>
      <c r="F6" s="635">
        <v>10</v>
      </c>
      <c r="G6" s="636" t="s">
        <v>24</v>
      </c>
      <c r="H6" s="986"/>
      <c r="I6" s="987"/>
      <c r="J6" s="687">
        <v>0.19</v>
      </c>
      <c r="K6" s="656">
        <f>IF(H3&gt;0,1,1+J6)</f>
        <v>1.19</v>
      </c>
      <c r="L6" s="638"/>
      <c r="M6" s="639" t="s">
        <v>298</v>
      </c>
      <c r="N6" s="640">
        <v>45</v>
      </c>
      <c r="P6" s="639" t="s">
        <v>299</v>
      </c>
      <c r="Q6" s="640">
        <v>10</v>
      </c>
    </row>
    <row r="7" spans="2:21" s="646" customFormat="1" ht="99.6" customHeight="1" thickBot="1" x14ac:dyDescent="0.3">
      <c r="B7" s="641" t="s">
        <v>296</v>
      </c>
      <c r="C7" s="642" t="s">
        <v>321</v>
      </c>
      <c r="D7" s="643" t="s">
        <v>428</v>
      </c>
      <c r="E7" s="644" t="s">
        <v>322</v>
      </c>
      <c r="F7" s="644" t="s">
        <v>323</v>
      </c>
      <c r="G7" s="645" t="s">
        <v>324</v>
      </c>
      <c r="H7" s="981" t="s">
        <v>325</v>
      </c>
      <c r="I7" s="982"/>
      <c r="K7" s="647"/>
      <c r="L7" s="648" t="s">
        <v>297</v>
      </c>
      <c r="M7" s="649" t="s">
        <v>326</v>
      </c>
      <c r="N7" s="650" t="s">
        <v>327</v>
      </c>
      <c r="O7" s="650" t="s">
        <v>362</v>
      </c>
      <c r="P7" s="651" t="s">
        <v>363</v>
      </c>
      <c r="Q7" s="652" t="s">
        <v>364</v>
      </c>
      <c r="R7" s="710" t="s">
        <v>365</v>
      </c>
      <c r="S7" s="977" t="s">
        <v>366</v>
      </c>
      <c r="T7" s="978"/>
      <c r="U7" s="720" t="s">
        <v>412</v>
      </c>
    </row>
    <row r="8" spans="2:21" s="518" customFormat="1" ht="24" customHeight="1" x14ac:dyDescent="0.25">
      <c r="B8" s="581" t="s">
        <v>434</v>
      </c>
      <c r="C8" s="582" t="s">
        <v>295</v>
      </c>
      <c r="D8" s="653">
        <f>Q8</f>
        <v>225</v>
      </c>
      <c r="E8" s="584">
        <f t="shared" ref="E8:E15" si="0">F8/$K$6</f>
        <v>16.806722689075631</v>
      </c>
      <c r="F8" s="585">
        <v>20</v>
      </c>
      <c r="G8" s="706">
        <v>1</v>
      </c>
      <c r="H8" s="654" t="s">
        <v>0</v>
      </c>
      <c r="I8" s="655">
        <f t="shared" ref="I8:I15" si="1">D8*E8</f>
        <v>3781.5126050420172</v>
      </c>
      <c r="L8" s="605" t="str">
        <f>C8</f>
        <v>Gruppenstd. Kinder</v>
      </c>
      <c r="M8" s="657">
        <v>10</v>
      </c>
      <c r="N8" s="743">
        <v>5</v>
      </c>
      <c r="O8" s="658">
        <f>M8*N8</f>
        <v>50</v>
      </c>
      <c r="P8" s="659">
        <f>$N$6*O8</f>
        <v>2250</v>
      </c>
      <c r="Q8" s="660">
        <f>P8/$Q$6</f>
        <v>225</v>
      </c>
      <c r="R8" s="709">
        <f>P8*E8</f>
        <v>37815.126050420171</v>
      </c>
      <c r="S8" s="711">
        <f>M8*G8*$N$6</f>
        <v>450</v>
      </c>
      <c r="T8" s="716">
        <f>S8/$Q$6+0.001</f>
        <v>45.000999999999998</v>
      </c>
      <c r="U8" s="721">
        <f>Q8*G8</f>
        <v>225</v>
      </c>
    </row>
    <row r="9" spans="2:21" s="518" customFormat="1" ht="24" customHeight="1" x14ac:dyDescent="0.25">
      <c r="B9" s="586" t="s">
        <v>435</v>
      </c>
      <c r="C9" s="582" t="s">
        <v>335</v>
      </c>
      <c r="D9" s="653">
        <f t="shared" ref="D9:D12" si="2">Q9</f>
        <v>108</v>
      </c>
      <c r="E9" s="584">
        <f t="shared" si="0"/>
        <v>16.806722689075631</v>
      </c>
      <c r="F9" s="585">
        <v>20</v>
      </c>
      <c r="G9" s="706">
        <v>0.5</v>
      </c>
      <c r="H9" s="662" t="s">
        <v>0</v>
      </c>
      <c r="I9" s="655">
        <f t="shared" si="1"/>
        <v>1815.1260504201682</v>
      </c>
      <c r="J9" s="604"/>
      <c r="K9" s="604"/>
      <c r="L9" s="605" t="str">
        <f>C9</f>
        <v>Gruppenstd. Bambini (30 Min.)</v>
      </c>
      <c r="M9" s="663">
        <v>12</v>
      </c>
      <c r="N9" s="744">
        <v>2</v>
      </c>
      <c r="O9" s="664">
        <f>M9*N9</f>
        <v>24</v>
      </c>
      <c r="P9" s="665">
        <f>$N$6*O9</f>
        <v>1080</v>
      </c>
      <c r="Q9" s="666">
        <f>P9/$Q$6</f>
        <v>108</v>
      </c>
      <c r="R9" s="661">
        <f>P9*E9</f>
        <v>18151.26050420168</v>
      </c>
      <c r="S9" s="712">
        <f>M9*G9*$N$6</f>
        <v>270</v>
      </c>
      <c r="T9" s="717">
        <f t="shared" ref="T9:T12" si="3">S9/$Q$6+0.001</f>
        <v>27.001000000000001</v>
      </c>
      <c r="U9" s="722">
        <f>Q9*G9</f>
        <v>54</v>
      </c>
    </row>
    <row r="10" spans="2:21" s="518" customFormat="1" ht="21.2" customHeight="1" x14ac:dyDescent="0.25">
      <c r="B10" s="586" t="s">
        <v>436</v>
      </c>
      <c r="C10" s="582" t="s">
        <v>337</v>
      </c>
      <c r="D10" s="653">
        <f t="shared" si="2"/>
        <v>81</v>
      </c>
      <c r="E10" s="584">
        <f t="shared" si="0"/>
        <v>18.487394957983195</v>
      </c>
      <c r="F10" s="587">
        <v>22</v>
      </c>
      <c r="G10" s="706">
        <v>1</v>
      </c>
      <c r="H10" s="662" t="s">
        <v>0</v>
      </c>
      <c r="I10" s="655">
        <f t="shared" si="1"/>
        <v>1497.4789915966387</v>
      </c>
      <c r="J10" s="604" t="s">
        <v>328</v>
      </c>
      <c r="K10" s="604"/>
      <c r="L10" s="605" t="str">
        <f>C10</f>
        <v>Gruppenstd. Erwachsene</v>
      </c>
      <c r="M10" s="663">
        <v>3</v>
      </c>
      <c r="N10" s="744">
        <v>6</v>
      </c>
      <c r="O10" s="664">
        <f>M10*N10</f>
        <v>18</v>
      </c>
      <c r="P10" s="665">
        <f>$N$6*O10</f>
        <v>810</v>
      </c>
      <c r="Q10" s="666">
        <f>P10/$Q$6</f>
        <v>81</v>
      </c>
      <c r="R10" s="661">
        <f>P10*E10</f>
        <v>14974.789915966388</v>
      </c>
      <c r="S10" s="712">
        <f>M10*G10*$N$6</f>
        <v>135</v>
      </c>
      <c r="T10" s="717">
        <f t="shared" si="3"/>
        <v>13.500999999999999</v>
      </c>
      <c r="U10" s="722">
        <f>Q10*G10</f>
        <v>81</v>
      </c>
    </row>
    <row r="11" spans="2:21" s="518" customFormat="1" ht="21.2" customHeight="1" x14ac:dyDescent="0.25">
      <c r="B11" s="586" t="s">
        <v>437</v>
      </c>
      <c r="C11" s="582" t="s">
        <v>340</v>
      </c>
      <c r="D11" s="653">
        <f t="shared" si="2"/>
        <v>67.5</v>
      </c>
      <c r="E11" s="584">
        <f t="shared" si="0"/>
        <v>29.411764705882355</v>
      </c>
      <c r="F11" s="705">
        <v>35</v>
      </c>
      <c r="G11" s="706">
        <v>0.5</v>
      </c>
      <c r="H11" s="662" t="s">
        <v>0</v>
      </c>
      <c r="I11" s="655">
        <f t="shared" si="1"/>
        <v>1985.294117647059</v>
      </c>
      <c r="J11" s="667" t="s">
        <v>329</v>
      </c>
      <c r="K11" s="604"/>
      <c r="L11" s="605" t="str">
        <f>C11</f>
        <v>Einzel- und Longenstd. (30 Min.)</v>
      </c>
      <c r="M11" s="663">
        <v>15</v>
      </c>
      <c r="N11" s="744">
        <v>1</v>
      </c>
      <c r="O11" s="664">
        <f>M11*N11</f>
        <v>15</v>
      </c>
      <c r="P11" s="665">
        <f>$N$6*O11</f>
        <v>675</v>
      </c>
      <c r="Q11" s="666">
        <f>P11/$Q$6</f>
        <v>67.5</v>
      </c>
      <c r="R11" s="661">
        <f>P11*E11</f>
        <v>19852.941176470591</v>
      </c>
      <c r="S11" s="712">
        <f>M11*G11*$N$6</f>
        <v>337.5</v>
      </c>
      <c r="T11" s="717">
        <f t="shared" si="3"/>
        <v>33.750999999999998</v>
      </c>
      <c r="U11" s="722">
        <f>Q11*G11</f>
        <v>33.75</v>
      </c>
    </row>
    <row r="12" spans="2:21" s="518" customFormat="1" ht="21.2" customHeight="1" thickBot="1" x14ac:dyDescent="0.3">
      <c r="B12" s="588" t="s">
        <v>438</v>
      </c>
      <c r="C12" s="589"/>
      <c r="D12" s="668">
        <f t="shared" si="2"/>
        <v>0</v>
      </c>
      <c r="E12" s="669">
        <f t="shared" si="0"/>
        <v>0</v>
      </c>
      <c r="F12" s="670"/>
      <c r="G12" s="707"/>
      <c r="H12" s="671" t="s">
        <v>0</v>
      </c>
      <c r="I12" s="672">
        <f t="shared" si="1"/>
        <v>0</v>
      </c>
      <c r="J12" s="708">
        <f>SUM(I8:I12)</f>
        <v>9079.4117647058829</v>
      </c>
      <c r="K12" s="792"/>
      <c r="L12" s="606">
        <f>C12</f>
        <v>0</v>
      </c>
      <c r="M12" s="673"/>
      <c r="N12" s="745"/>
      <c r="O12" s="674">
        <f>M12*N12</f>
        <v>0</v>
      </c>
      <c r="P12" s="675">
        <f>$N$6*O12</f>
        <v>0</v>
      </c>
      <c r="Q12" s="676">
        <f>P12/$Q$6</f>
        <v>0</v>
      </c>
      <c r="R12" s="677">
        <f>P12*E12</f>
        <v>0</v>
      </c>
      <c r="S12" s="713">
        <f>M12*G12*$N$6</f>
        <v>0</v>
      </c>
      <c r="T12" s="718">
        <f t="shared" si="3"/>
        <v>1E-3</v>
      </c>
      <c r="U12" s="723">
        <f>Q12*G12</f>
        <v>0</v>
      </c>
    </row>
    <row r="13" spans="2:21" s="518" customFormat="1" ht="21.2" customHeight="1" thickBot="1" x14ac:dyDescent="0.3">
      <c r="B13" s="581" t="s">
        <v>5</v>
      </c>
      <c r="C13" s="678" t="s">
        <v>336</v>
      </c>
      <c r="D13" s="583">
        <v>6</v>
      </c>
      <c r="E13" s="584">
        <f t="shared" si="0"/>
        <v>42.016806722689076</v>
      </c>
      <c r="F13" s="585">
        <v>50</v>
      </c>
      <c r="G13" s="607"/>
      <c r="H13" s="654" t="s">
        <v>0</v>
      </c>
      <c r="I13" s="655">
        <f t="shared" si="1"/>
        <v>252.10084033613447</v>
      </c>
      <c r="J13" s="604"/>
      <c r="K13" s="604"/>
      <c r="L13" s="679" t="s">
        <v>300</v>
      </c>
      <c r="M13" s="680">
        <f>SUM(M8:M12)</f>
        <v>40</v>
      </c>
      <c r="N13" s="681"/>
      <c r="O13" s="682">
        <f t="shared" ref="O13:U13" si="4">SUM(O8:O12)</f>
        <v>107</v>
      </c>
      <c r="P13" s="683">
        <f t="shared" si="4"/>
        <v>4815</v>
      </c>
      <c r="Q13" s="684">
        <f t="shared" si="4"/>
        <v>481.5</v>
      </c>
      <c r="R13" s="685">
        <f t="shared" si="4"/>
        <v>90794.117647058825</v>
      </c>
      <c r="S13" s="714">
        <f t="shared" si="4"/>
        <v>1192.5</v>
      </c>
      <c r="T13" s="719">
        <f t="shared" si="4"/>
        <v>119.255</v>
      </c>
      <c r="U13" s="724">
        <f t="shared" si="4"/>
        <v>393.75</v>
      </c>
    </row>
    <row r="14" spans="2:21" s="518" customFormat="1" ht="21.2" customHeight="1" x14ac:dyDescent="0.25">
      <c r="B14" s="581" t="s">
        <v>330</v>
      </c>
      <c r="C14" s="686"/>
      <c r="D14" s="583"/>
      <c r="E14" s="584">
        <f t="shared" si="0"/>
        <v>0</v>
      </c>
      <c r="F14" s="585"/>
      <c r="G14" s="607"/>
      <c r="H14" s="654" t="s">
        <v>0</v>
      </c>
      <c r="I14" s="655">
        <f t="shared" si="1"/>
        <v>0</v>
      </c>
      <c r="J14" s="604"/>
      <c r="K14" s="604"/>
      <c r="M14" s="688"/>
      <c r="O14" s="688"/>
      <c r="Q14" s="785" t="s">
        <v>413</v>
      </c>
      <c r="R14" s="689">
        <f>IF(R13=0,0,R13)</f>
        <v>90794.117647058825</v>
      </c>
    </row>
    <row r="15" spans="2:21" s="518" customFormat="1" ht="21.2" customHeight="1" x14ac:dyDescent="0.25">
      <c r="B15" s="586" t="s">
        <v>5</v>
      </c>
      <c r="C15" s="591" t="s">
        <v>158</v>
      </c>
      <c r="D15" s="584">
        <f>IF(F6=0,0,1/F6)</f>
        <v>0.1</v>
      </c>
      <c r="E15" s="584">
        <f t="shared" si="0"/>
        <v>672.26890756302521</v>
      </c>
      <c r="F15" s="590">
        <v>800</v>
      </c>
      <c r="G15" s="607"/>
      <c r="H15" s="662" t="s">
        <v>0</v>
      </c>
      <c r="I15" s="655">
        <f t="shared" si="1"/>
        <v>67.226890756302524</v>
      </c>
      <c r="J15" s="604"/>
      <c r="K15" s="604"/>
      <c r="Q15" s="690" t="s">
        <v>414</v>
      </c>
      <c r="R15" s="691">
        <v>85000</v>
      </c>
      <c r="S15" s="692"/>
      <c r="T15" s="692"/>
    </row>
    <row r="16" spans="2:21" s="518" customFormat="1" ht="53.45" customHeight="1" thickBot="1" x14ac:dyDescent="0.35">
      <c r="B16" s="693"/>
      <c r="C16" s="694" t="s">
        <v>331</v>
      </c>
      <c r="D16" s="695">
        <f>SUM(D8:D12)</f>
        <v>481.5</v>
      </c>
      <c r="E16" s="696" t="s">
        <v>367</v>
      </c>
      <c r="F16" s="695">
        <f>U13</f>
        <v>393.75</v>
      </c>
      <c r="G16" s="697"/>
      <c r="H16" s="698" t="s">
        <v>0</v>
      </c>
      <c r="I16" s="699">
        <f>SUM(I8:I15)</f>
        <v>9398.7394957983197</v>
      </c>
      <c r="L16" s="704"/>
      <c r="O16" s="700"/>
      <c r="P16" s="700"/>
      <c r="Q16" s="701" t="s">
        <v>332</v>
      </c>
      <c r="R16" s="742">
        <f>R14-R15</f>
        <v>5794.1176470588252</v>
      </c>
    </row>
    <row r="17" spans="2:17" ht="39.75" customHeight="1" x14ac:dyDescent="0.25">
      <c r="B17" s="311" t="s">
        <v>162</v>
      </c>
      <c r="C17" s="312"/>
      <c r="D17" s="313" t="s">
        <v>126</v>
      </c>
      <c r="E17" s="313" t="s">
        <v>179</v>
      </c>
      <c r="F17" s="314"/>
      <c r="G17" s="315" t="s">
        <v>17</v>
      </c>
      <c r="H17" s="957" t="s">
        <v>161</v>
      </c>
      <c r="I17" s="958"/>
      <c r="L17" s="971" t="s">
        <v>444</v>
      </c>
      <c r="M17" s="972"/>
      <c r="N17" s="973"/>
      <c r="O17" s="601"/>
      <c r="P17" s="528"/>
      <c r="Q17" s="528"/>
    </row>
    <row r="18" spans="2:17" ht="21.2" customHeight="1" x14ac:dyDescent="0.25">
      <c r="B18" s="283" t="s">
        <v>159</v>
      </c>
      <c r="C18" s="316"/>
      <c r="D18" s="286">
        <f>1/F6</f>
        <v>0.1</v>
      </c>
      <c r="E18" s="317">
        <v>4000</v>
      </c>
      <c r="F18" s="318"/>
      <c r="G18" s="319" t="s">
        <v>49</v>
      </c>
      <c r="H18" s="287" t="s">
        <v>0</v>
      </c>
      <c r="I18" s="320">
        <f>D18*E18</f>
        <v>400</v>
      </c>
      <c r="L18" s="974"/>
      <c r="M18" s="975"/>
      <c r="N18" s="976"/>
      <c r="O18" s="601"/>
    </row>
    <row r="19" spans="2:17" ht="21.2" customHeight="1" x14ac:dyDescent="0.25">
      <c r="B19" s="290"/>
      <c r="C19" s="321"/>
      <c r="D19" s="322" t="s">
        <v>37</v>
      </c>
      <c r="E19" s="323" t="s">
        <v>38</v>
      </c>
      <c r="F19" s="322" t="s">
        <v>39</v>
      </c>
      <c r="G19" s="324" t="s">
        <v>125</v>
      </c>
      <c r="H19" s="293" t="s">
        <v>0</v>
      </c>
      <c r="I19" s="325"/>
      <c r="L19" s="752" t="s">
        <v>368</v>
      </c>
      <c r="M19" s="753"/>
      <c r="N19" s="754">
        <f>R14/N6</f>
        <v>2017.6470588235295</v>
      </c>
      <c r="O19" s="602"/>
    </row>
    <row r="20" spans="2:17" ht="21.2" customHeight="1" x14ac:dyDescent="0.25">
      <c r="B20" s="290" t="s">
        <v>18</v>
      </c>
      <c r="C20" s="28" t="s">
        <v>45</v>
      </c>
      <c r="D20" s="44">
        <v>1.5</v>
      </c>
      <c r="E20" s="35">
        <v>0.3</v>
      </c>
      <c r="F20" s="36">
        <v>365</v>
      </c>
      <c r="G20" s="328">
        <f t="shared" ref="G20:G27" si="5">D20*F20/100</f>
        <v>5.4749999999999996</v>
      </c>
      <c r="H20" s="293" t="s">
        <v>0</v>
      </c>
      <c r="I20" s="320">
        <f t="shared" ref="I20:I26" si="6">D20*E20*F20</f>
        <v>164.24999999999997</v>
      </c>
      <c r="L20" s="747" t="s">
        <v>369</v>
      </c>
      <c r="M20" s="755"/>
      <c r="N20" s="748">
        <f>I39*Q6/N6</f>
        <v>530.02222222222224</v>
      </c>
      <c r="O20" s="602"/>
    </row>
    <row r="21" spans="2:17" ht="21.2" customHeight="1" x14ac:dyDescent="0.25">
      <c r="B21" s="290" t="s">
        <v>19</v>
      </c>
      <c r="C21" s="28" t="s">
        <v>46</v>
      </c>
      <c r="D21" s="44">
        <v>1</v>
      </c>
      <c r="E21" s="35">
        <v>0.4</v>
      </c>
      <c r="F21" s="36">
        <v>365</v>
      </c>
      <c r="G21" s="328">
        <f t="shared" si="5"/>
        <v>3.65</v>
      </c>
      <c r="H21" s="293" t="s">
        <v>0</v>
      </c>
      <c r="I21" s="320">
        <f t="shared" si="6"/>
        <v>146</v>
      </c>
      <c r="L21" s="756" t="s">
        <v>371</v>
      </c>
      <c r="M21" s="753"/>
      <c r="N21" s="757">
        <f>N19-N20</f>
        <v>1487.6248366013074</v>
      </c>
      <c r="O21" s="602"/>
    </row>
    <row r="22" spans="2:17" ht="21.2" customHeight="1" x14ac:dyDescent="0.25">
      <c r="B22" s="290" t="s">
        <v>20</v>
      </c>
      <c r="C22" s="28" t="s">
        <v>50</v>
      </c>
      <c r="D22" s="44">
        <v>9</v>
      </c>
      <c r="E22" s="35">
        <v>0.18</v>
      </c>
      <c r="F22" s="36">
        <v>185</v>
      </c>
      <c r="G22" s="329">
        <f t="shared" si="5"/>
        <v>16.649999999999999</v>
      </c>
      <c r="H22" s="293" t="s">
        <v>0</v>
      </c>
      <c r="I22" s="320">
        <f t="shared" si="6"/>
        <v>299.7</v>
      </c>
      <c r="L22" s="750" t="s">
        <v>370</v>
      </c>
      <c r="M22" s="409"/>
      <c r="N22" s="751">
        <f>N21/Q6</f>
        <v>148.76248366013073</v>
      </c>
      <c r="O22" s="602"/>
    </row>
    <row r="23" spans="2:17" ht="21.2" customHeight="1" x14ac:dyDescent="0.25">
      <c r="B23" s="290" t="s">
        <v>21</v>
      </c>
      <c r="C23" s="28" t="s">
        <v>61</v>
      </c>
      <c r="D23" s="44">
        <v>6</v>
      </c>
      <c r="E23" s="35">
        <v>0.18</v>
      </c>
      <c r="F23" s="36">
        <v>180</v>
      </c>
      <c r="G23" s="328">
        <f t="shared" si="5"/>
        <v>10.8</v>
      </c>
      <c r="H23" s="293" t="s">
        <v>0</v>
      </c>
      <c r="I23" s="320">
        <f t="shared" si="6"/>
        <v>194.4</v>
      </c>
      <c r="L23" s="747" t="s">
        <v>387</v>
      </c>
      <c r="M23" s="755"/>
      <c r="N23" s="749">
        <f>I54</f>
        <v>-516.34821568627376</v>
      </c>
      <c r="O23" s="602"/>
    </row>
    <row r="24" spans="2:17" ht="21.2" customHeight="1" x14ac:dyDescent="0.25">
      <c r="B24" s="290" t="s">
        <v>22</v>
      </c>
      <c r="C24" s="28" t="s">
        <v>286</v>
      </c>
      <c r="D24" s="44">
        <v>3</v>
      </c>
      <c r="E24" s="35">
        <v>0.04</v>
      </c>
      <c r="F24" s="36">
        <v>185</v>
      </c>
      <c r="G24" s="328">
        <f t="shared" si="5"/>
        <v>5.55</v>
      </c>
      <c r="H24" s="293" t="s">
        <v>0</v>
      </c>
      <c r="I24" s="320">
        <f t="shared" si="6"/>
        <v>22.2</v>
      </c>
      <c r="J24" s="702" t="s">
        <v>228</v>
      </c>
      <c r="L24" s="758" t="s">
        <v>372</v>
      </c>
      <c r="M24" s="759"/>
      <c r="N24" s="760">
        <f>N23/N22</f>
        <v>-3.4709572130157862</v>
      </c>
      <c r="O24" s="602" t="s">
        <v>445</v>
      </c>
    </row>
    <row r="25" spans="2:17" ht="21.2" customHeight="1" x14ac:dyDescent="0.25">
      <c r="B25" s="556" t="s">
        <v>35</v>
      </c>
      <c r="C25" s="452" t="s">
        <v>47</v>
      </c>
      <c r="D25" s="453">
        <v>5</v>
      </c>
      <c r="E25" s="454">
        <v>0.18</v>
      </c>
      <c r="F25" s="455">
        <v>180</v>
      </c>
      <c r="G25" s="557">
        <f t="shared" si="5"/>
        <v>9</v>
      </c>
      <c r="H25" s="558" t="s">
        <v>0</v>
      </c>
      <c r="I25" s="559">
        <f t="shared" si="6"/>
        <v>161.99999999999997</v>
      </c>
      <c r="J25" s="788">
        <f>SUM(I20:I25)</f>
        <v>988.55000000000007</v>
      </c>
      <c r="K25" s="600"/>
      <c r="O25" s="603"/>
    </row>
    <row r="26" spans="2:17" ht="21.2" customHeight="1" x14ac:dyDescent="0.3">
      <c r="B26" s="283" t="s">
        <v>11</v>
      </c>
      <c r="C26" s="32" t="s">
        <v>42</v>
      </c>
      <c r="D26" s="99">
        <v>10</v>
      </c>
      <c r="E26" s="100">
        <v>0.1</v>
      </c>
      <c r="F26" s="38">
        <v>365</v>
      </c>
      <c r="G26" s="555">
        <f t="shared" si="5"/>
        <v>36.5</v>
      </c>
      <c r="H26" s="330" t="s">
        <v>0</v>
      </c>
      <c r="I26" s="288">
        <f t="shared" si="6"/>
        <v>365</v>
      </c>
      <c r="J26" s="702" t="s">
        <v>315</v>
      </c>
      <c r="K26" s="600"/>
      <c r="L26" s="740"/>
      <c r="M26" s="625"/>
      <c r="N26" s="603"/>
      <c r="O26" s="603"/>
    </row>
    <row r="27" spans="2:17" ht="21.2" customHeight="1" x14ac:dyDescent="0.25">
      <c r="B27" s="290" t="s">
        <v>11</v>
      </c>
      <c r="C27" s="291"/>
      <c r="D27" s="331"/>
      <c r="E27" s="332"/>
      <c r="F27" s="327"/>
      <c r="G27" s="333">
        <f t="shared" si="5"/>
        <v>0</v>
      </c>
      <c r="H27" s="330" t="s">
        <v>0</v>
      </c>
      <c r="I27" s="320">
        <f>D27*E27*F27</f>
        <v>0</v>
      </c>
      <c r="J27" s="787">
        <f>SUM(I26:I27)</f>
        <v>365</v>
      </c>
      <c r="K27" s="600"/>
      <c r="O27" s="616"/>
    </row>
    <row r="28" spans="2:17" ht="21.2" customHeight="1" x14ac:dyDescent="0.25">
      <c r="B28" s="283" t="s">
        <v>10</v>
      </c>
      <c r="C28" s="321" t="s">
        <v>27</v>
      </c>
      <c r="D28" s="335">
        <v>100</v>
      </c>
      <c r="E28" s="336">
        <v>2</v>
      </c>
      <c r="F28" s="327">
        <v>365</v>
      </c>
      <c r="G28" s="337">
        <f>D28*F28/1000</f>
        <v>36.5</v>
      </c>
      <c r="H28" s="287" t="s">
        <v>0</v>
      </c>
      <c r="I28" s="288">
        <f>D28*E28*F28/1000</f>
        <v>73</v>
      </c>
    </row>
    <row r="29" spans="2:17" ht="21.2" customHeight="1" x14ac:dyDescent="0.25">
      <c r="B29" s="290" t="s">
        <v>1</v>
      </c>
      <c r="C29" s="321"/>
      <c r="D29" s="338"/>
      <c r="E29" s="339"/>
      <c r="F29" s="340"/>
      <c r="G29" s="341"/>
      <c r="H29" s="342" t="s">
        <v>0</v>
      </c>
      <c r="I29" s="343"/>
    </row>
    <row r="30" spans="2:17" ht="21.2" customHeight="1" x14ac:dyDescent="0.25">
      <c r="B30" s="344"/>
      <c r="C30" s="340"/>
      <c r="D30" s="345" t="s">
        <v>23</v>
      </c>
      <c r="E30" s="345" t="s">
        <v>164</v>
      </c>
      <c r="F30" s="345" t="s">
        <v>24</v>
      </c>
      <c r="G30" s="346"/>
      <c r="H30" s="347"/>
      <c r="I30" s="343"/>
    </row>
    <row r="31" spans="2:17" ht="21.2" customHeight="1" x14ac:dyDescent="0.25">
      <c r="B31" s="290" t="s">
        <v>12</v>
      </c>
      <c r="C31" s="321" t="s">
        <v>16</v>
      </c>
      <c r="D31" s="327">
        <v>600</v>
      </c>
      <c r="E31" s="326">
        <v>0.3</v>
      </c>
      <c r="F31" s="348">
        <v>1</v>
      </c>
      <c r="G31" s="349"/>
      <c r="H31" s="293" t="s">
        <v>0</v>
      </c>
      <c r="I31" s="320">
        <f t="shared" ref="I31:I41" si="7">D31*E31*F31</f>
        <v>180</v>
      </c>
    </row>
    <row r="32" spans="2:17" ht="21.2" customHeight="1" x14ac:dyDescent="0.25">
      <c r="B32" s="290" t="s">
        <v>8</v>
      </c>
      <c r="C32" s="321"/>
      <c r="D32" s="351">
        <v>1</v>
      </c>
      <c r="E32" s="350">
        <v>300</v>
      </c>
      <c r="F32" s="348">
        <f t="shared" ref="F32:F42" si="8">$F$31</f>
        <v>1</v>
      </c>
      <c r="G32" s="349"/>
      <c r="H32" s="293" t="s">
        <v>0</v>
      </c>
      <c r="I32" s="320">
        <f t="shared" si="7"/>
        <v>300</v>
      </c>
    </row>
    <row r="33" spans="2:16" ht="21.2" customHeight="1" x14ac:dyDescent="0.25">
      <c r="B33" s="290" t="s">
        <v>7</v>
      </c>
      <c r="C33" s="291"/>
      <c r="D33" s="351">
        <v>8</v>
      </c>
      <c r="E33" s="350">
        <v>60</v>
      </c>
      <c r="F33" s="348">
        <f t="shared" si="8"/>
        <v>1</v>
      </c>
      <c r="G33" s="349"/>
      <c r="H33" s="293" t="s">
        <v>0</v>
      </c>
      <c r="I33" s="320">
        <f t="shared" si="7"/>
        <v>480</v>
      </c>
    </row>
    <row r="34" spans="2:16" ht="21.2" customHeight="1" x14ac:dyDescent="0.25">
      <c r="B34" s="290" t="s">
        <v>15</v>
      </c>
      <c r="C34" s="291" t="s">
        <v>174</v>
      </c>
      <c r="D34" s="351">
        <f>2*365/30</f>
        <v>24.333333333333332</v>
      </c>
      <c r="E34" s="350">
        <v>7</v>
      </c>
      <c r="F34" s="348">
        <f t="shared" si="8"/>
        <v>1</v>
      </c>
      <c r="G34" s="349" t="s">
        <v>339</v>
      </c>
      <c r="H34" s="293" t="s">
        <v>0</v>
      </c>
      <c r="I34" s="320">
        <f t="shared" si="7"/>
        <v>170.33333333333331</v>
      </c>
    </row>
    <row r="35" spans="2:16" ht="21.2" customHeight="1" x14ac:dyDescent="0.25">
      <c r="B35" s="290" t="s">
        <v>9</v>
      </c>
      <c r="C35" s="291"/>
      <c r="D35" s="351">
        <v>1</v>
      </c>
      <c r="E35" s="350">
        <v>70</v>
      </c>
      <c r="F35" s="348">
        <f t="shared" si="8"/>
        <v>1</v>
      </c>
      <c r="G35" s="349"/>
      <c r="H35" s="293" t="s">
        <v>0</v>
      </c>
      <c r="I35" s="320">
        <f t="shared" si="7"/>
        <v>70</v>
      </c>
    </row>
    <row r="36" spans="2:16" ht="21.2" customHeight="1" x14ac:dyDescent="0.25">
      <c r="B36" s="290" t="s">
        <v>163</v>
      </c>
      <c r="C36" s="291"/>
      <c r="D36" s="351"/>
      <c r="E36" s="350"/>
      <c r="F36" s="348">
        <f t="shared" si="8"/>
        <v>1</v>
      </c>
      <c r="G36" s="349"/>
      <c r="H36" s="293" t="s">
        <v>0</v>
      </c>
      <c r="I36" s="320">
        <f t="shared" si="7"/>
        <v>0</v>
      </c>
    </row>
    <row r="37" spans="2:16" ht="21.2" customHeight="1" x14ac:dyDescent="0.25">
      <c r="B37" s="290" t="s">
        <v>68</v>
      </c>
      <c r="C37" s="321"/>
      <c r="D37" s="351">
        <v>1</v>
      </c>
      <c r="E37" s="350">
        <v>180</v>
      </c>
      <c r="F37" s="348">
        <f t="shared" si="8"/>
        <v>1</v>
      </c>
      <c r="G37" s="349" t="s">
        <v>25</v>
      </c>
      <c r="H37" s="293" t="s">
        <v>0</v>
      </c>
      <c r="I37" s="320">
        <f t="shared" si="7"/>
        <v>180</v>
      </c>
      <c r="L37" s="276" t="s">
        <v>26</v>
      </c>
    </row>
    <row r="38" spans="2:16" ht="21.2" customHeight="1" x14ac:dyDescent="0.25">
      <c r="B38" s="290" t="s">
        <v>14</v>
      </c>
      <c r="C38" s="291"/>
      <c r="D38" s="351">
        <v>1</v>
      </c>
      <c r="E38" s="350">
        <v>5</v>
      </c>
      <c r="F38" s="348">
        <f t="shared" si="8"/>
        <v>1</v>
      </c>
      <c r="G38" s="349"/>
      <c r="H38" s="293" t="s">
        <v>0</v>
      </c>
      <c r="I38" s="320">
        <f t="shared" si="7"/>
        <v>5</v>
      </c>
      <c r="J38" s="1011" t="s">
        <v>333</v>
      </c>
      <c r="K38" s="1012"/>
    </row>
    <row r="39" spans="2:16" ht="21.2" customHeight="1" x14ac:dyDescent="0.25">
      <c r="B39" s="290" t="s">
        <v>33</v>
      </c>
      <c r="C39" s="291" t="s">
        <v>289</v>
      </c>
      <c r="D39" s="715">
        <f>T13</f>
        <v>119.255</v>
      </c>
      <c r="E39" s="574">
        <v>20</v>
      </c>
      <c r="F39" s="348">
        <f t="shared" si="8"/>
        <v>1</v>
      </c>
      <c r="G39" s="349" t="s">
        <v>290</v>
      </c>
      <c r="H39" s="293" t="s">
        <v>0</v>
      </c>
      <c r="I39" s="320">
        <f t="shared" si="7"/>
        <v>2385.1</v>
      </c>
      <c r="J39" s="1011"/>
      <c r="K39" s="1012"/>
      <c r="L39" s="793"/>
      <c r="M39" s="793"/>
      <c r="N39" s="608"/>
    </row>
    <row r="40" spans="2:16" ht="21.2" customHeight="1" x14ac:dyDescent="0.25">
      <c r="B40" s="352" t="s">
        <v>2</v>
      </c>
      <c r="C40" s="353" t="s">
        <v>36</v>
      </c>
      <c r="D40" s="351">
        <v>1</v>
      </c>
      <c r="E40" s="350">
        <v>10</v>
      </c>
      <c r="F40" s="348">
        <f t="shared" si="8"/>
        <v>1</v>
      </c>
      <c r="G40" s="354"/>
      <c r="H40" s="293" t="s">
        <v>0</v>
      </c>
      <c r="I40" s="320">
        <f t="shared" si="7"/>
        <v>10</v>
      </c>
      <c r="J40" s="1011"/>
      <c r="K40" s="1012"/>
      <c r="L40" s="793"/>
      <c r="M40" s="793"/>
      <c r="N40" s="608"/>
    </row>
    <row r="41" spans="2:16" ht="21.2" customHeight="1" x14ac:dyDescent="0.25">
      <c r="B41" s="355" t="s">
        <v>2</v>
      </c>
      <c r="C41" s="356" t="s">
        <v>287</v>
      </c>
      <c r="D41" s="351">
        <v>0.2</v>
      </c>
      <c r="E41" s="350">
        <v>1000</v>
      </c>
      <c r="F41" s="348">
        <f t="shared" si="8"/>
        <v>1</v>
      </c>
      <c r="G41" s="354" t="s">
        <v>128</v>
      </c>
      <c r="H41" s="293" t="s">
        <v>0</v>
      </c>
      <c r="I41" s="320">
        <f t="shared" si="7"/>
        <v>200</v>
      </c>
      <c r="J41" s="1011"/>
      <c r="K41" s="1012"/>
      <c r="L41" s="703"/>
      <c r="M41" s="703"/>
    </row>
    <row r="42" spans="2:16" ht="21.2" customHeight="1" x14ac:dyDescent="0.25">
      <c r="B42" s="357" t="s">
        <v>170</v>
      </c>
      <c r="C42" s="358"/>
      <c r="D42" s="359">
        <v>0.04</v>
      </c>
      <c r="E42" s="360">
        <f>(E18+E15)/2</f>
        <v>2336.1344537815125</v>
      </c>
      <c r="F42" s="361">
        <f t="shared" si="8"/>
        <v>1</v>
      </c>
      <c r="G42" s="354"/>
      <c r="H42" s="362" t="s">
        <v>0</v>
      </c>
      <c r="I42" s="363">
        <f>E42*D42*F42</f>
        <v>93.445378151260499</v>
      </c>
      <c r="L42" s="794"/>
      <c r="M42" s="703"/>
    </row>
    <row r="43" spans="2:16" ht="24.75" customHeight="1" thickBot="1" x14ac:dyDescent="0.35">
      <c r="B43" s="961" t="s">
        <v>62</v>
      </c>
      <c r="C43" s="962"/>
      <c r="D43" s="962"/>
      <c r="E43" s="962"/>
      <c r="F43" s="962"/>
      <c r="G43" s="963"/>
      <c r="H43" s="364" t="s">
        <v>0</v>
      </c>
      <c r="I43" s="365">
        <f>SUM(I18:I42)</f>
        <v>5900.4287114845938</v>
      </c>
    </row>
    <row r="44" spans="2:16" ht="28.5" customHeight="1" thickTop="1" thickBot="1" x14ac:dyDescent="0.4">
      <c r="B44" s="366" t="s">
        <v>127</v>
      </c>
      <c r="C44" s="367"/>
      <c r="D44" s="368"/>
      <c r="E44" s="368"/>
      <c r="F44" s="368"/>
      <c r="G44" s="368"/>
      <c r="H44" s="369" t="s">
        <v>0</v>
      </c>
      <c r="I44" s="370">
        <f>I16-I43</f>
        <v>3498.3107843137259</v>
      </c>
      <c r="J44" s="371"/>
      <c r="K44" s="371"/>
      <c r="L44" s="373"/>
    </row>
    <row r="45" spans="2:16" ht="23.25" customHeight="1" x14ac:dyDescent="0.25">
      <c r="B45" s="569" t="s">
        <v>288</v>
      </c>
      <c r="C45" s="571">
        <v>120</v>
      </c>
      <c r="D45" s="575"/>
      <c r="E45" s="375"/>
      <c r="F45" s="576" t="s">
        <v>334</v>
      </c>
      <c r="G45" s="570">
        <v>0.1</v>
      </c>
      <c r="H45" s="573"/>
      <c r="I45" s="572"/>
      <c r="J45" s="371"/>
      <c r="K45" s="371"/>
      <c r="M45" s="371" t="s">
        <v>291</v>
      </c>
    </row>
    <row r="46" spans="2:16" ht="23.25" customHeight="1" x14ac:dyDescent="0.25">
      <c r="B46" s="968" t="s">
        <v>307</v>
      </c>
      <c r="C46" s="969"/>
      <c r="D46" s="594">
        <f>IF(E39&gt;0,C45+D39*G45,C45+D39*(1+G45))</f>
        <v>131.9255</v>
      </c>
      <c r="E46" s="595" t="s">
        <v>63</v>
      </c>
      <c r="F46" s="596">
        <v>18</v>
      </c>
      <c r="G46" s="597" t="s">
        <v>48</v>
      </c>
      <c r="H46" s="598" t="s">
        <v>0</v>
      </c>
      <c r="I46" s="599">
        <f>D46*F46</f>
        <v>2374.6590000000001</v>
      </c>
      <c r="J46" s="371"/>
      <c r="K46" s="371"/>
      <c r="M46" s="546" t="s">
        <v>279</v>
      </c>
      <c r="N46" s="1019" t="s">
        <v>360</v>
      </c>
      <c r="O46" s="1020"/>
      <c r="P46" s="763" t="s">
        <v>359</v>
      </c>
    </row>
    <row r="47" spans="2:16" ht="23.25" customHeight="1" x14ac:dyDescent="0.25">
      <c r="B47" s="1026" t="s">
        <v>52</v>
      </c>
      <c r="C47" s="1027"/>
      <c r="D47" s="592">
        <v>7000</v>
      </c>
      <c r="E47" s="565" t="s">
        <v>255</v>
      </c>
      <c r="F47" s="593">
        <f>SUM(M47:P47)*100</f>
        <v>6.0000000000000009</v>
      </c>
      <c r="G47" s="566" t="s">
        <v>254</v>
      </c>
      <c r="H47" s="567" t="s">
        <v>0</v>
      </c>
      <c r="I47" s="568">
        <f>D47*F47/100</f>
        <v>420.00000000000006</v>
      </c>
      <c r="K47" s="371"/>
      <c r="L47" s="786" t="s">
        <v>318</v>
      </c>
      <c r="M47" s="577">
        <v>0.03</v>
      </c>
      <c r="N47" s="741">
        <v>0.02</v>
      </c>
      <c r="O47" s="797"/>
      <c r="P47" s="629">
        <v>0.01</v>
      </c>
    </row>
    <row r="48" spans="2:16" ht="23.25" customHeight="1" x14ac:dyDescent="0.25">
      <c r="B48" s="951" t="s">
        <v>53</v>
      </c>
      <c r="C48" s="952"/>
      <c r="D48" s="489">
        <v>10000</v>
      </c>
      <c r="E48" s="380" t="s">
        <v>255</v>
      </c>
      <c r="F48" s="549">
        <f>SUM(M48:P48)*100</f>
        <v>6.5</v>
      </c>
      <c r="G48" s="381" t="s">
        <v>254</v>
      </c>
      <c r="H48" s="382" t="s">
        <v>0</v>
      </c>
      <c r="I48" s="383">
        <f>D48*F48/100</f>
        <v>650</v>
      </c>
      <c r="K48" s="371"/>
      <c r="L48" s="786" t="s">
        <v>319</v>
      </c>
      <c r="M48" s="577">
        <v>2.5000000000000001E-2</v>
      </c>
      <c r="N48" s="741">
        <v>0.02</v>
      </c>
      <c r="O48" s="797"/>
      <c r="P48" s="629">
        <v>0.02</v>
      </c>
    </row>
    <row r="49" spans="2:21" ht="23.25" customHeight="1" x14ac:dyDescent="0.25">
      <c r="B49" s="951" t="s">
        <v>135</v>
      </c>
      <c r="C49" s="952"/>
      <c r="D49" s="489">
        <v>2000</v>
      </c>
      <c r="E49" s="380" t="s">
        <v>255</v>
      </c>
      <c r="F49" s="549">
        <f>SUM(M49:P49)*100</f>
        <v>10</v>
      </c>
      <c r="G49" s="381" t="s">
        <v>254</v>
      </c>
      <c r="H49" s="382" t="s">
        <v>0</v>
      </c>
      <c r="I49" s="383">
        <f>D49*F49/100</f>
        <v>200</v>
      </c>
      <c r="K49" s="371"/>
      <c r="L49" s="786" t="s">
        <v>320</v>
      </c>
      <c r="M49" s="577">
        <v>0.08</v>
      </c>
      <c r="N49" s="741">
        <v>0.02</v>
      </c>
      <c r="O49" s="797"/>
      <c r="P49" s="798"/>
    </row>
    <row r="50" spans="2:21" ht="23.25" customHeight="1" x14ac:dyDescent="0.25">
      <c r="B50" s="890" t="s">
        <v>391</v>
      </c>
      <c r="C50" s="891"/>
      <c r="D50" s="491">
        <v>0.1</v>
      </c>
      <c r="E50" s="380" t="s">
        <v>64</v>
      </c>
      <c r="F50" s="384">
        <v>200</v>
      </c>
      <c r="G50" s="381" t="s">
        <v>34</v>
      </c>
      <c r="H50" s="382" t="s">
        <v>0</v>
      </c>
      <c r="I50" s="383">
        <f>D50*F50</f>
        <v>20</v>
      </c>
      <c r="J50" s="371"/>
      <c r="K50" s="371"/>
      <c r="M50" s="276" t="s">
        <v>361</v>
      </c>
    </row>
    <row r="51" spans="2:21" ht="23.25" customHeight="1" x14ac:dyDescent="0.25">
      <c r="B51" s="968" t="s">
        <v>392</v>
      </c>
      <c r="C51" s="969"/>
      <c r="D51" s="489">
        <v>25000</v>
      </c>
      <c r="E51" s="380" t="s">
        <v>256</v>
      </c>
      <c r="F51" s="489">
        <v>350</v>
      </c>
      <c r="G51" s="385" t="s">
        <v>257</v>
      </c>
      <c r="H51" s="330" t="s">
        <v>0</v>
      </c>
      <c r="I51" s="386">
        <f>F51</f>
        <v>350</v>
      </c>
      <c r="J51" s="371"/>
      <c r="K51" s="371"/>
      <c r="L51" s="373"/>
    </row>
    <row r="52" spans="2:21" ht="23.25" customHeight="1" thickBot="1" x14ac:dyDescent="0.35">
      <c r="B52" s="1021" t="s">
        <v>65</v>
      </c>
      <c r="C52" s="1022"/>
      <c r="D52" s="1022"/>
      <c r="E52" s="1022"/>
      <c r="F52" s="1022"/>
      <c r="G52" s="1023"/>
      <c r="H52" s="779" t="s">
        <v>0</v>
      </c>
      <c r="I52" s="780">
        <f>SUM(I46:I51)</f>
        <v>4014.6590000000001</v>
      </c>
      <c r="J52" s="371"/>
      <c r="K52" s="371"/>
      <c r="L52" s="373"/>
    </row>
    <row r="53" spans="2:21" ht="26.45" customHeight="1" thickBot="1" x14ac:dyDescent="0.35">
      <c r="B53" s="764" t="s">
        <v>379</v>
      </c>
      <c r="C53" s="765"/>
      <c r="D53" s="765"/>
      <c r="E53" s="765"/>
      <c r="F53" s="765"/>
      <c r="G53" s="766"/>
      <c r="H53" s="767" t="s">
        <v>0</v>
      </c>
      <c r="I53" s="768">
        <f>I43+I52</f>
        <v>9915.0877114845935</v>
      </c>
      <c r="J53" s="371"/>
      <c r="K53" s="371"/>
      <c r="L53" s="373"/>
    </row>
    <row r="54" spans="2:21" ht="29.45" customHeight="1" thickTop="1" x14ac:dyDescent="0.35">
      <c r="B54" s="799" t="s">
        <v>417</v>
      </c>
      <c r="C54" s="800"/>
      <c r="D54" s="800"/>
      <c r="E54" s="800"/>
      <c r="F54" s="800"/>
      <c r="G54" s="801" t="s">
        <v>430</v>
      </c>
      <c r="H54" s="71" t="s">
        <v>0</v>
      </c>
      <c r="I54" s="802">
        <f>I16-I53</f>
        <v>-516.34821568627376</v>
      </c>
      <c r="J54" s="371"/>
      <c r="K54" s="371"/>
    </row>
    <row r="55" spans="2:21" ht="29.45" customHeight="1" x14ac:dyDescent="0.35">
      <c r="B55" s="806"/>
      <c r="C55" s="148"/>
      <c r="D55" s="148"/>
      <c r="E55" s="148"/>
      <c r="F55" s="148"/>
      <c r="G55" s="807" t="s">
        <v>429</v>
      </c>
      <c r="H55" s="402" t="s">
        <v>0</v>
      </c>
      <c r="I55" s="403">
        <f>I54/D16</f>
        <v>-1.0723742797222715</v>
      </c>
      <c r="J55" s="809"/>
      <c r="K55" s="808"/>
      <c r="L55" s="810"/>
    </row>
    <row r="56" spans="2:21" ht="25.5" customHeight="1" x14ac:dyDescent="0.35">
      <c r="B56" s="803" t="s">
        <v>302</v>
      </c>
      <c r="C56" s="804"/>
      <c r="D56" s="804"/>
      <c r="E56" s="804"/>
      <c r="F56" s="804"/>
      <c r="G56" s="805" t="s">
        <v>193</v>
      </c>
      <c r="H56" s="397" t="s">
        <v>0</v>
      </c>
      <c r="I56" s="398">
        <f>I54+I46</f>
        <v>1858.3107843137263</v>
      </c>
      <c r="J56" s="371"/>
      <c r="K56" s="371"/>
      <c r="L56" s="373"/>
    </row>
    <row r="57" spans="2:21" ht="25.5" customHeight="1" thickBot="1" x14ac:dyDescent="0.4">
      <c r="B57" s="803"/>
      <c r="C57" s="804"/>
      <c r="D57" s="804"/>
      <c r="E57" s="804"/>
      <c r="F57" s="804"/>
      <c r="G57" s="805" t="s">
        <v>192</v>
      </c>
      <c r="H57" s="397" t="s">
        <v>0</v>
      </c>
      <c r="I57" s="811">
        <f>I56/D46</f>
        <v>14.086062090450492</v>
      </c>
      <c r="J57" s="371"/>
      <c r="K57" s="371"/>
      <c r="L57" s="373"/>
    </row>
    <row r="58" spans="2:21" ht="50.45" customHeight="1" x14ac:dyDescent="0.25">
      <c r="B58" s="1024" t="s">
        <v>439</v>
      </c>
      <c r="C58" s="1025"/>
      <c r="D58" s="1025"/>
      <c r="E58" s="812" t="s">
        <v>49</v>
      </c>
      <c r="F58" s="813">
        <f>I55*-1</f>
        <v>1.0723742797222715</v>
      </c>
      <c r="G58" s="814" t="s">
        <v>43</v>
      </c>
      <c r="H58" s="815" t="s">
        <v>0</v>
      </c>
      <c r="I58" s="816">
        <f>F58*K6</f>
        <v>1.2761253928695031</v>
      </c>
      <c r="J58" s="1007" t="s">
        <v>449</v>
      </c>
      <c r="K58" s="1008"/>
      <c r="L58" s="817"/>
    </row>
    <row r="59" spans="2:21" ht="44.45" customHeight="1" thickBot="1" x14ac:dyDescent="0.35">
      <c r="B59" s="1009" t="s">
        <v>416</v>
      </c>
      <c r="C59" s="1010"/>
      <c r="D59" s="1010"/>
      <c r="E59" s="1010"/>
      <c r="F59" s="1010"/>
      <c r="G59" s="1010"/>
      <c r="H59" s="789"/>
      <c r="I59" s="790">
        <f>N6-K59</f>
        <v>48.470957213015787</v>
      </c>
      <c r="J59" s="791" t="str">
        <f>IF(K59&lt;0,"fehlende Wochen Unterricht","überzählige Wochen Unterricht")</f>
        <v>fehlende Wochen Unterricht</v>
      </c>
      <c r="K59" s="795">
        <f>N24</f>
        <v>-3.4709572130157862</v>
      </c>
      <c r="L59" s="1013" t="s">
        <v>431</v>
      </c>
      <c r="M59" s="1014"/>
      <c r="N59" s="1014"/>
      <c r="O59" s="1014"/>
      <c r="P59" s="1014"/>
      <c r="Q59" s="1014"/>
      <c r="R59" s="1014"/>
      <c r="S59" s="1014"/>
      <c r="T59" s="796"/>
      <c r="U59" s="796"/>
    </row>
    <row r="61" spans="2:21" x14ac:dyDescent="0.25">
      <c r="F61" s="277"/>
      <c r="G61" s="276"/>
    </row>
  </sheetData>
  <sheetProtection sheet="1" objects="1" scenarios="1"/>
  <mergeCells count="32">
    <mergeCell ref="J58:K58"/>
    <mergeCell ref="B59:G59"/>
    <mergeCell ref="J38:K41"/>
    <mergeCell ref="L59:S59"/>
    <mergeCell ref="J3:K4"/>
    <mergeCell ref="L5:U5"/>
    <mergeCell ref="L3:Q4"/>
    <mergeCell ref="N46:O46"/>
    <mergeCell ref="B52:G52"/>
    <mergeCell ref="B58:D58"/>
    <mergeCell ref="B43:G43"/>
    <mergeCell ref="B49:C49"/>
    <mergeCell ref="B47:C47"/>
    <mergeCell ref="B48:C48"/>
    <mergeCell ref="B46:C46"/>
    <mergeCell ref="B50:C50"/>
    <mergeCell ref="B51:C51"/>
    <mergeCell ref="B2:I2"/>
    <mergeCell ref="B3:C3"/>
    <mergeCell ref="D3:E3"/>
    <mergeCell ref="B4:C5"/>
    <mergeCell ref="D4:D5"/>
    <mergeCell ref="E4:E5"/>
    <mergeCell ref="F4:I4"/>
    <mergeCell ref="F5:I5"/>
    <mergeCell ref="L17:N18"/>
    <mergeCell ref="S7:T7"/>
    <mergeCell ref="J5:K5"/>
    <mergeCell ref="H7:I7"/>
    <mergeCell ref="B6:E6"/>
    <mergeCell ref="H6:I6"/>
    <mergeCell ref="H17:I17"/>
  </mergeCells>
  <printOptions headings="1"/>
  <pageMargins left="0.70866141732283472" right="0.51181102362204722" top="0.78740157480314965" bottom="0.59055118110236227" header="0.31496062992125984" footer="0.39370078740157483"/>
  <pageSetup paperSize="9" scale="49" fitToWidth="2" orientation="portrait" cellComments="asDisplayed" verticalDpi="1200" r:id="rId1"/>
  <headerFooter>
    <oddFooter>&amp;L&amp;F&amp;C&amp;A&amp;R&amp;D</oddFooter>
  </headerFooter>
  <colBreaks count="1" manualBreakCount="1">
    <brk id="11" min="1" max="57"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59"/>
  <sheetViews>
    <sheetView showGridLines="0" showZeros="0" zoomScale="70" zoomScaleNormal="70" zoomScaleSheetLayoutView="75" workbookViewId="0">
      <selection activeCell="J67" sqref="J67"/>
    </sheetView>
  </sheetViews>
  <sheetFormatPr baseColWidth="10" defaultColWidth="11.28515625" defaultRowHeight="18" x14ac:dyDescent="0.25"/>
  <cols>
    <col min="1" max="1" width="1.85546875" style="1" customWidth="1"/>
    <col min="2" max="2" width="26" style="2" customWidth="1"/>
    <col min="3" max="3" width="23.7109375" style="2" customWidth="1"/>
    <col min="4" max="4" width="12.28515625" style="2" customWidth="1"/>
    <col min="5" max="5" width="19.140625" style="2" customWidth="1"/>
    <col min="6" max="6" width="12.7109375" style="2" customWidth="1"/>
    <col min="7" max="7" width="24.140625" style="11" customWidth="1"/>
    <col min="8" max="8" width="5.28515625" style="1" customWidth="1"/>
    <col min="9" max="9" width="14.7109375" style="1" customWidth="1"/>
    <col min="10" max="10" width="4.85546875" style="1" customWidth="1"/>
    <col min="11" max="11" width="16.5703125" style="1" customWidth="1"/>
    <col min="12" max="12" width="13.28515625" style="1" customWidth="1"/>
    <col min="13" max="13" width="15.7109375" style="1" customWidth="1"/>
    <col min="14" max="14" width="11.28515625" style="1"/>
    <col min="15" max="15" width="19.7109375" style="1" customWidth="1"/>
    <col min="16" max="16" width="7.7109375" style="1" customWidth="1"/>
    <col min="17" max="17" width="7.140625" style="1" customWidth="1"/>
    <col min="18" max="18" width="3.7109375" style="1" customWidth="1"/>
    <col min="19" max="19" width="4.7109375" style="1" customWidth="1"/>
    <col min="20" max="16384" width="11.28515625" style="1"/>
  </cols>
  <sheetData>
    <row r="1" spans="2:19" ht="5.25" customHeight="1" thickBot="1" x14ac:dyDescent="0.3"/>
    <row r="2" spans="2:19" ht="36" customHeight="1" thickBot="1" x14ac:dyDescent="0.3">
      <c r="B2" s="866" t="s">
        <v>375</v>
      </c>
      <c r="C2" s="867"/>
      <c r="D2" s="867"/>
      <c r="E2" s="867"/>
      <c r="F2" s="867"/>
      <c r="G2" s="867"/>
      <c r="H2" s="867"/>
      <c r="I2" s="868"/>
    </row>
    <row r="3" spans="2:19" ht="42" customHeight="1" x14ac:dyDescent="0.25">
      <c r="B3" s="869" t="s">
        <v>59</v>
      </c>
      <c r="C3" s="870"/>
      <c r="D3" s="871" t="s">
        <v>178</v>
      </c>
      <c r="E3" s="872"/>
      <c r="F3" s="217" t="s">
        <v>177</v>
      </c>
      <c r="G3" s="234" t="s">
        <v>175</v>
      </c>
      <c r="H3" s="493"/>
      <c r="I3" s="235" t="s">
        <v>176</v>
      </c>
      <c r="J3" s="4"/>
    </row>
    <row r="4" spans="2:19" ht="22.7" customHeight="1" x14ac:dyDescent="0.25">
      <c r="B4" s="876"/>
      <c r="C4" s="921"/>
      <c r="D4" s="906" t="s">
        <v>23</v>
      </c>
      <c r="E4" s="1037" t="s">
        <v>180</v>
      </c>
      <c r="F4" s="873" t="s">
        <v>4</v>
      </c>
      <c r="G4" s="874"/>
      <c r="H4" s="874"/>
      <c r="I4" s="875"/>
      <c r="L4" s="11"/>
      <c r="M4" s="11"/>
      <c r="N4" s="11"/>
      <c r="O4" s="11"/>
      <c r="P4" s="11"/>
      <c r="Q4" s="11"/>
    </row>
    <row r="5" spans="2:19" ht="67.7" customHeight="1" x14ac:dyDescent="0.25">
      <c r="B5" s="922"/>
      <c r="C5" s="923"/>
      <c r="D5" s="1036"/>
      <c r="E5" s="1038"/>
      <c r="F5" s="860" t="s">
        <v>373</v>
      </c>
      <c r="G5" s="861"/>
      <c r="H5" s="861"/>
      <c r="I5" s="862"/>
      <c r="K5" s="924" t="s">
        <v>188</v>
      </c>
      <c r="L5" s="924"/>
      <c r="M5" s="924"/>
      <c r="N5" s="924"/>
      <c r="O5" s="11"/>
      <c r="P5" s="11"/>
      <c r="Q5" s="11"/>
    </row>
    <row r="6" spans="2:19" ht="24" customHeight="1" thickBot="1" x14ac:dyDescent="0.3">
      <c r="B6" s="1033" t="s">
        <v>172</v>
      </c>
      <c r="C6" s="1034"/>
      <c r="D6" s="1034"/>
      <c r="E6" s="1035"/>
      <c r="F6" s="174">
        <v>10</v>
      </c>
      <c r="G6" s="184" t="s">
        <v>24</v>
      </c>
      <c r="H6" s="858" t="s">
        <v>160</v>
      </c>
      <c r="I6" s="859"/>
      <c r="K6" s="63"/>
      <c r="L6" s="201" t="s">
        <v>185</v>
      </c>
      <c r="M6" s="202" t="s">
        <v>182</v>
      </c>
      <c r="N6" s="203"/>
      <c r="O6" s="11"/>
      <c r="P6" s="11"/>
      <c r="Q6" s="11"/>
    </row>
    <row r="7" spans="2:19" ht="24" hidden="1" customHeight="1" x14ac:dyDescent="0.25">
      <c r="B7" s="497"/>
      <c r="C7" s="498"/>
      <c r="D7" s="498"/>
      <c r="E7" s="499"/>
      <c r="F7" s="500"/>
      <c r="G7" s="501"/>
      <c r="H7" s="502"/>
      <c r="I7" s="503"/>
      <c r="K7" s="63"/>
      <c r="L7" s="11"/>
      <c r="M7" s="11"/>
      <c r="N7" s="11"/>
      <c r="O7" s="11"/>
      <c r="P7" s="11"/>
      <c r="Q7" s="11"/>
    </row>
    <row r="8" spans="2:19" ht="24" hidden="1" customHeight="1" x14ac:dyDescent="0.25">
      <c r="B8" s="497"/>
      <c r="C8" s="498"/>
      <c r="D8" s="498"/>
      <c r="E8" s="499"/>
      <c r="F8" s="500"/>
      <c r="G8" s="501"/>
      <c r="H8" s="502"/>
      <c r="I8" s="503"/>
      <c r="K8" s="63"/>
      <c r="L8" s="11"/>
      <c r="M8" s="11"/>
      <c r="N8" s="11"/>
      <c r="O8" s="11"/>
      <c r="P8" s="11"/>
      <c r="Q8" s="11"/>
    </row>
    <row r="9" spans="2:19" ht="24" hidden="1" customHeight="1" x14ac:dyDescent="0.25">
      <c r="B9" s="497"/>
      <c r="C9" s="498"/>
      <c r="D9" s="498"/>
      <c r="E9" s="499"/>
      <c r="F9" s="500"/>
      <c r="G9" s="501"/>
      <c r="H9" s="502"/>
      <c r="I9" s="503"/>
      <c r="K9" s="63"/>
      <c r="L9" s="11"/>
      <c r="M9" s="11"/>
      <c r="N9" s="11"/>
      <c r="O9" s="11"/>
      <c r="P9" s="11"/>
      <c r="Q9" s="11"/>
    </row>
    <row r="10" spans="2:19" ht="21.2" customHeight="1" x14ac:dyDescent="0.25">
      <c r="B10" s="14" t="s">
        <v>3</v>
      </c>
      <c r="C10" s="32" t="s">
        <v>374</v>
      </c>
      <c r="D10" s="41">
        <v>0.7</v>
      </c>
      <c r="E10" s="85">
        <f>F10/M10</f>
        <v>4621.8487394957983</v>
      </c>
      <c r="F10" s="494">
        <v>5500</v>
      </c>
      <c r="G10" s="198" t="s">
        <v>43</v>
      </c>
      <c r="H10" s="20" t="s">
        <v>0</v>
      </c>
      <c r="I10" s="10">
        <f>D10*E10</f>
        <v>3235.2941176470586</v>
      </c>
      <c r="K10" s="60"/>
      <c r="L10" s="84">
        <v>0.19</v>
      </c>
      <c r="M10" s="62">
        <f>1+L10</f>
        <v>1.19</v>
      </c>
      <c r="O10" s="11"/>
      <c r="P10" s="11"/>
      <c r="Q10" s="11"/>
    </row>
    <row r="11" spans="2:19" ht="21.2" customHeight="1" x14ac:dyDescent="0.25">
      <c r="B11" s="5" t="s">
        <v>5</v>
      </c>
      <c r="C11" s="28"/>
      <c r="D11" s="42"/>
      <c r="E11" s="85">
        <f>F11/M11</f>
        <v>0</v>
      </c>
      <c r="F11" s="494"/>
      <c r="G11" s="198"/>
      <c r="H11" s="18" t="s">
        <v>0</v>
      </c>
      <c r="I11" s="10">
        <f>D11*E11</f>
        <v>0</v>
      </c>
      <c r="K11" s="11"/>
      <c r="L11" s="84">
        <v>0.19</v>
      </c>
      <c r="M11" s="62">
        <f>1+L11</f>
        <v>1.19</v>
      </c>
      <c r="O11" s="11"/>
      <c r="P11" s="11"/>
      <c r="Q11" s="11"/>
    </row>
    <row r="12" spans="2:19" ht="21.2" customHeight="1" x14ac:dyDescent="0.25">
      <c r="B12" s="5" t="s">
        <v>5</v>
      </c>
      <c r="C12" s="28"/>
      <c r="D12" s="42"/>
      <c r="E12" s="85">
        <f>F12/M12</f>
        <v>0</v>
      </c>
      <c r="F12" s="494"/>
      <c r="G12" s="198"/>
      <c r="H12" s="18" t="s">
        <v>0</v>
      </c>
      <c r="I12" s="10">
        <f>D12*E12</f>
        <v>0</v>
      </c>
      <c r="K12" s="11"/>
      <c r="L12" s="84">
        <v>0.19</v>
      </c>
      <c r="M12" s="62">
        <f>1+L12</f>
        <v>1.19</v>
      </c>
      <c r="O12" s="11"/>
      <c r="P12" s="11"/>
      <c r="Q12" s="11"/>
    </row>
    <row r="13" spans="2:19" ht="21.2" hidden="1" customHeight="1" x14ac:dyDescent="0.25">
      <c r="B13" s="5" t="s">
        <v>5</v>
      </c>
      <c r="C13" s="28"/>
      <c r="D13" s="42"/>
      <c r="E13" s="85">
        <f>F13/M13</f>
        <v>0</v>
      </c>
      <c r="F13" s="494"/>
      <c r="G13" s="198"/>
      <c r="H13" s="18" t="s">
        <v>0</v>
      </c>
      <c r="I13" s="10">
        <f>D13*E13</f>
        <v>0</v>
      </c>
      <c r="K13" s="11"/>
      <c r="L13" s="84">
        <v>0.19</v>
      </c>
      <c r="M13" s="62">
        <f>1+L13</f>
        <v>1.19</v>
      </c>
      <c r="O13" s="11"/>
      <c r="P13" s="11"/>
      <c r="Q13" s="11"/>
    </row>
    <row r="14" spans="2:19" ht="21.2" customHeight="1" x14ac:dyDescent="0.25">
      <c r="B14" s="5" t="s">
        <v>5</v>
      </c>
      <c r="C14" s="173" t="s">
        <v>208</v>
      </c>
      <c r="D14" s="85">
        <f>1/F6</f>
        <v>0.1</v>
      </c>
      <c r="E14" s="85">
        <f>F14/M14</f>
        <v>336.1344537815126</v>
      </c>
      <c r="F14" s="494">
        <v>400</v>
      </c>
      <c r="G14" s="198" t="s">
        <v>43</v>
      </c>
      <c r="H14" s="18" t="s">
        <v>0</v>
      </c>
      <c r="I14" s="10">
        <f>D14*E14</f>
        <v>33.613445378151262</v>
      </c>
      <c r="L14" s="84">
        <v>0.19</v>
      </c>
      <c r="M14" s="62">
        <f>1+L14</f>
        <v>1.19</v>
      </c>
      <c r="Q14" s="67"/>
      <c r="S14" s="67"/>
    </row>
    <row r="15" spans="2:19" ht="24.75" customHeight="1" thickBot="1" x14ac:dyDescent="0.35">
      <c r="B15" s="23" t="s">
        <v>57</v>
      </c>
      <c r="C15" s="24"/>
      <c r="D15" s="25"/>
      <c r="E15" s="25"/>
      <c r="F15" s="25"/>
      <c r="G15" s="26"/>
      <c r="H15" s="27" t="s">
        <v>0</v>
      </c>
      <c r="I15" s="59">
        <f>SUM(I10:I14)</f>
        <v>3268.90756302521</v>
      </c>
      <c r="K15" s="11"/>
    </row>
    <row r="16" spans="2:19" ht="39.75" customHeight="1" x14ac:dyDescent="0.25">
      <c r="B16" s="53" t="s">
        <v>162</v>
      </c>
      <c r="C16" s="54"/>
      <c r="D16" s="55" t="s">
        <v>126</v>
      </c>
      <c r="E16" s="55" t="s">
        <v>179</v>
      </c>
      <c r="F16" s="56"/>
      <c r="G16" s="57" t="s">
        <v>17</v>
      </c>
      <c r="H16" s="883" t="s">
        <v>161</v>
      </c>
      <c r="I16" s="884"/>
      <c r="K16" s="882"/>
      <c r="L16" s="882"/>
      <c r="M16" s="882"/>
      <c r="N16" s="882"/>
      <c r="O16" s="882"/>
      <c r="P16" s="882"/>
      <c r="Q16" s="882"/>
    </row>
    <row r="17" spans="2:16" ht="21.2" customHeight="1" x14ac:dyDescent="0.25">
      <c r="B17" s="14" t="s">
        <v>173</v>
      </c>
      <c r="C17" s="52"/>
      <c r="D17" s="85">
        <f>1/F6</f>
        <v>0.1</v>
      </c>
      <c r="E17" s="51">
        <v>10000</v>
      </c>
      <c r="F17" s="98"/>
      <c r="G17" s="33" t="s">
        <v>49</v>
      </c>
      <c r="H17" s="20" t="s">
        <v>0</v>
      </c>
      <c r="I17" s="9">
        <f>D17*E17</f>
        <v>1000</v>
      </c>
      <c r="K17" s="11" t="s">
        <v>447</v>
      </c>
    </row>
    <row r="18" spans="2:16" ht="21.2" customHeight="1" x14ac:dyDescent="0.25">
      <c r="B18" s="5"/>
      <c r="C18" s="6"/>
      <c r="D18" s="16" t="s">
        <v>37</v>
      </c>
      <c r="E18" s="17" t="s">
        <v>38</v>
      </c>
      <c r="F18" s="16" t="s">
        <v>39</v>
      </c>
      <c r="G18" s="69" t="s">
        <v>125</v>
      </c>
      <c r="H18" s="18" t="s">
        <v>0</v>
      </c>
      <c r="I18" s="15"/>
      <c r="K18" s="11" t="s">
        <v>448</v>
      </c>
    </row>
    <row r="19" spans="2:16" ht="21.2" customHeight="1" x14ac:dyDescent="0.25">
      <c r="B19" s="5" t="s">
        <v>18</v>
      </c>
      <c r="C19" s="28" t="s">
        <v>45</v>
      </c>
      <c r="D19" s="44">
        <v>1.5</v>
      </c>
      <c r="E19" s="35">
        <v>0.3</v>
      </c>
      <c r="F19" s="36">
        <v>365</v>
      </c>
      <c r="G19" s="102">
        <f t="shared" ref="G19:G26" si="0">D19*F19/100</f>
        <v>5.4749999999999996</v>
      </c>
      <c r="H19" s="18" t="s">
        <v>0</v>
      </c>
      <c r="I19" s="9">
        <f t="shared" ref="I19:I25" si="1">D19*E19*F19</f>
        <v>164.24999999999997</v>
      </c>
      <c r="K19" s="11" t="s">
        <v>446</v>
      </c>
    </row>
    <row r="20" spans="2:16" ht="21.2" customHeight="1" x14ac:dyDescent="0.25">
      <c r="B20" s="5" t="s">
        <v>19</v>
      </c>
      <c r="C20" s="28" t="s">
        <v>243</v>
      </c>
      <c r="D20" s="44">
        <v>3</v>
      </c>
      <c r="E20" s="35">
        <v>0.4</v>
      </c>
      <c r="F20" s="579">
        <v>250</v>
      </c>
      <c r="G20" s="102">
        <f t="shared" si="0"/>
        <v>7.5</v>
      </c>
      <c r="H20" s="18" t="s">
        <v>0</v>
      </c>
      <c r="I20" s="9">
        <f t="shared" si="1"/>
        <v>300.00000000000006</v>
      </c>
      <c r="K20" s="11" t="s">
        <v>165</v>
      </c>
      <c r="L20" s="11"/>
    </row>
    <row r="21" spans="2:16" ht="21.2" customHeight="1" x14ac:dyDescent="0.25">
      <c r="B21" s="5" t="s">
        <v>20</v>
      </c>
      <c r="C21" s="28" t="s">
        <v>41</v>
      </c>
      <c r="D21" s="44">
        <v>0.05</v>
      </c>
      <c r="E21" s="35">
        <v>1.5</v>
      </c>
      <c r="F21" s="36">
        <v>365</v>
      </c>
      <c r="G21" s="103">
        <f t="shared" si="0"/>
        <v>0.1825</v>
      </c>
      <c r="H21" s="18" t="s">
        <v>0</v>
      </c>
      <c r="I21" s="9">
        <f t="shared" si="1"/>
        <v>27.375000000000004</v>
      </c>
      <c r="K21" s="11" t="s">
        <v>60</v>
      </c>
      <c r="L21" s="11"/>
    </row>
    <row r="22" spans="2:16" ht="21.2" customHeight="1" x14ac:dyDescent="0.25">
      <c r="B22" s="5" t="s">
        <v>21</v>
      </c>
      <c r="C22" s="28" t="s">
        <v>244</v>
      </c>
      <c r="D22" s="44">
        <v>1</v>
      </c>
      <c r="E22" s="35">
        <v>0.6</v>
      </c>
      <c r="F22" s="579">
        <v>60</v>
      </c>
      <c r="G22" s="102">
        <f t="shared" si="0"/>
        <v>0.6</v>
      </c>
      <c r="H22" s="18" t="s">
        <v>0</v>
      </c>
      <c r="I22" s="9">
        <f t="shared" si="1"/>
        <v>36</v>
      </c>
      <c r="K22" s="11"/>
      <c r="L22" s="11"/>
    </row>
    <row r="23" spans="2:16" ht="21.2" customHeight="1" x14ac:dyDescent="0.25">
      <c r="B23" s="5" t="s">
        <v>22</v>
      </c>
      <c r="C23" s="28" t="s">
        <v>292</v>
      </c>
      <c r="D23" s="44">
        <v>25</v>
      </c>
      <c r="E23" s="35">
        <v>0.04</v>
      </c>
      <c r="F23" s="579">
        <v>185</v>
      </c>
      <c r="G23" s="102">
        <f t="shared" si="0"/>
        <v>46.25</v>
      </c>
      <c r="H23" s="18" t="s">
        <v>0</v>
      </c>
      <c r="I23" s="9">
        <f t="shared" si="1"/>
        <v>185</v>
      </c>
      <c r="K23" s="11"/>
      <c r="L23" s="11"/>
    </row>
    <row r="24" spans="2:16" ht="21.2" customHeight="1" x14ac:dyDescent="0.25">
      <c r="B24" s="451" t="s">
        <v>35</v>
      </c>
      <c r="C24" s="452" t="s">
        <v>282</v>
      </c>
      <c r="D24" s="453">
        <v>10</v>
      </c>
      <c r="E24" s="454">
        <v>0.18</v>
      </c>
      <c r="F24" s="455">
        <v>365</v>
      </c>
      <c r="G24" s="552">
        <f t="shared" si="0"/>
        <v>36.5</v>
      </c>
      <c r="H24" s="457" t="s">
        <v>0</v>
      </c>
      <c r="I24" s="554">
        <f t="shared" si="1"/>
        <v>656.99999999999989</v>
      </c>
      <c r="K24" s="2" t="s">
        <v>228</v>
      </c>
      <c r="L24" s="276"/>
      <c r="M24" s="560"/>
      <c r="N24" s="623">
        <f>SUM(I19:I24)</f>
        <v>1369.625</v>
      </c>
    </row>
    <row r="25" spans="2:16" ht="21.2" customHeight="1" x14ac:dyDescent="0.25">
      <c r="B25" s="14" t="s">
        <v>11</v>
      </c>
      <c r="C25" s="32" t="s">
        <v>42</v>
      </c>
      <c r="D25" s="99">
        <v>8</v>
      </c>
      <c r="E25" s="100">
        <v>0.1</v>
      </c>
      <c r="F25" s="38">
        <v>365</v>
      </c>
      <c r="G25" s="551">
        <f t="shared" si="0"/>
        <v>29.2</v>
      </c>
      <c r="H25" s="19" t="s">
        <v>0</v>
      </c>
      <c r="I25" s="10">
        <f t="shared" si="1"/>
        <v>292</v>
      </c>
      <c r="K25" s="2"/>
      <c r="L25" s="2"/>
      <c r="M25" s="2"/>
      <c r="N25" s="624"/>
    </row>
    <row r="26" spans="2:16" ht="21.2" customHeight="1" x14ac:dyDescent="0.25">
      <c r="B26" s="5" t="s">
        <v>11</v>
      </c>
      <c r="C26" s="28"/>
      <c r="D26" s="99"/>
      <c r="E26" s="100"/>
      <c r="F26" s="36"/>
      <c r="G26" s="64">
        <f t="shared" si="0"/>
        <v>0</v>
      </c>
      <c r="H26" s="19" t="s">
        <v>0</v>
      </c>
      <c r="I26" s="9">
        <f>D26*E26*F26</f>
        <v>0</v>
      </c>
      <c r="K26" s="2" t="s">
        <v>315</v>
      </c>
      <c r="L26" s="2"/>
      <c r="M26" s="2"/>
      <c r="N26" s="624">
        <f>SUM(I25:I26)</f>
        <v>292</v>
      </c>
      <c r="P26" s="616"/>
    </row>
    <row r="27" spans="2:16" ht="21.2" customHeight="1" x14ac:dyDescent="0.25">
      <c r="B27" s="14" t="s">
        <v>10</v>
      </c>
      <c r="C27" s="37" t="s">
        <v>27</v>
      </c>
      <c r="D27" s="38">
        <v>130</v>
      </c>
      <c r="E27" s="40">
        <v>2</v>
      </c>
      <c r="F27" s="36">
        <v>365</v>
      </c>
      <c r="G27" s="101">
        <f>D27*F27/1000</f>
        <v>47.45</v>
      </c>
      <c r="H27" s="20" t="s">
        <v>0</v>
      </c>
      <c r="I27" s="10">
        <f>D27*E27*F27/1000</f>
        <v>94.9</v>
      </c>
    </row>
    <row r="28" spans="2:16" ht="21.2" customHeight="1" x14ac:dyDescent="0.25">
      <c r="B28" s="5" t="s">
        <v>1</v>
      </c>
      <c r="C28" s="6"/>
      <c r="D28" s="105"/>
      <c r="E28" s="45"/>
      <c r="F28" s="47"/>
      <c r="G28" s="144"/>
      <c r="H28" s="145" t="s">
        <v>0</v>
      </c>
      <c r="I28" s="195">
        <v>800</v>
      </c>
    </row>
    <row r="29" spans="2:16" ht="21.2" customHeight="1" x14ac:dyDescent="0.25">
      <c r="B29" s="46"/>
      <c r="C29" s="47"/>
      <c r="D29" s="22" t="s">
        <v>23</v>
      </c>
      <c r="E29" s="22" t="s">
        <v>164</v>
      </c>
      <c r="F29" s="22" t="s">
        <v>24</v>
      </c>
      <c r="G29" s="48"/>
      <c r="H29" s="49"/>
      <c r="I29" s="50"/>
    </row>
    <row r="30" spans="2:16" ht="21.2" customHeight="1" x14ac:dyDescent="0.25">
      <c r="B30" s="5" t="s">
        <v>12</v>
      </c>
      <c r="C30" s="6" t="s">
        <v>16</v>
      </c>
      <c r="D30" s="36">
        <v>150</v>
      </c>
      <c r="E30" s="35">
        <v>0.3</v>
      </c>
      <c r="F30" s="65">
        <v>1</v>
      </c>
      <c r="G30" s="29"/>
      <c r="H30" s="18" t="s">
        <v>0</v>
      </c>
      <c r="I30" s="9">
        <f t="shared" ref="I30:I40" si="2">D30*E30*F30</f>
        <v>45</v>
      </c>
    </row>
    <row r="31" spans="2:16" ht="21.2" customHeight="1" x14ac:dyDescent="0.25">
      <c r="B31" s="5" t="s">
        <v>8</v>
      </c>
      <c r="C31" s="6"/>
      <c r="D31" s="36">
        <v>1</v>
      </c>
      <c r="E31" s="39">
        <v>500</v>
      </c>
      <c r="F31" s="65">
        <f t="shared" ref="F31:F41" si="3">$F$30</f>
        <v>1</v>
      </c>
      <c r="G31" s="29"/>
      <c r="H31" s="18" t="s">
        <v>0</v>
      </c>
      <c r="I31" s="9">
        <f t="shared" si="2"/>
        <v>500</v>
      </c>
    </row>
    <row r="32" spans="2:16" ht="21.2" customHeight="1" x14ac:dyDescent="0.25">
      <c r="B32" s="5" t="s">
        <v>7</v>
      </c>
      <c r="C32" s="28"/>
      <c r="D32" s="34">
        <v>8</v>
      </c>
      <c r="E32" s="39">
        <v>30</v>
      </c>
      <c r="F32" s="65">
        <f t="shared" si="3"/>
        <v>1</v>
      </c>
      <c r="G32" s="29"/>
      <c r="H32" s="18" t="s">
        <v>0</v>
      </c>
      <c r="I32" s="9">
        <f t="shared" si="2"/>
        <v>240</v>
      </c>
    </row>
    <row r="33" spans="2:15" ht="21.2" customHeight="1" x14ac:dyDescent="0.25">
      <c r="B33" s="5" t="s">
        <v>15</v>
      </c>
      <c r="C33" s="28" t="s">
        <v>174</v>
      </c>
      <c r="D33" s="34">
        <f>2*365/50</f>
        <v>14.6</v>
      </c>
      <c r="E33" s="39">
        <v>7</v>
      </c>
      <c r="F33" s="65">
        <f t="shared" si="3"/>
        <v>1</v>
      </c>
      <c r="G33" s="29" t="s">
        <v>51</v>
      </c>
      <c r="H33" s="18" t="s">
        <v>0</v>
      </c>
      <c r="I33" s="9">
        <f t="shared" si="2"/>
        <v>102.2</v>
      </c>
    </row>
    <row r="34" spans="2:15" ht="21.2" customHeight="1" x14ac:dyDescent="0.25">
      <c r="B34" s="5" t="s">
        <v>9</v>
      </c>
      <c r="C34" s="28"/>
      <c r="D34" s="34">
        <v>1</v>
      </c>
      <c r="E34" s="39">
        <v>70</v>
      </c>
      <c r="F34" s="65">
        <f t="shared" si="3"/>
        <v>1</v>
      </c>
      <c r="G34" s="29"/>
      <c r="H34" s="18" t="s">
        <v>0</v>
      </c>
      <c r="I34" s="9">
        <f t="shared" si="2"/>
        <v>70</v>
      </c>
    </row>
    <row r="35" spans="2:15" ht="21.2" customHeight="1" x14ac:dyDescent="0.25">
      <c r="B35" s="5" t="s">
        <v>163</v>
      </c>
      <c r="C35" s="28"/>
      <c r="D35" s="34">
        <v>1</v>
      </c>
      <c r="E35" s="39">
        <v>40</v>
      </c>
      <c r="F35" s="65">
        <f t="shared" si="3"/>
        <v>1</v>
      </c>
      <c r="G35" s="29"/>
      <c r="H35" s="18" t="s">
        <v>0</v>
      </c>
      <c r="I35" s="9">
        <f t="shared" si="2"/>
        <v>40</v>
      </c>
    </row>
    <row r="36" spans="2:15" ht="21.2" customHeight="1" x14ac:dyDescent="0.25">
      <c r="B36" s="5" t="s">
        <v>68</v>
      </c>
      <c r="C36" s="28"/>
      <c r="D36" s="34"/>
      <c r="E36" s="39"/>
      <c r="F36" s="65">
        <f t="shared" si="3"/>
        <v>1</v>
      </c>
      <c r="G36" s="29"/>
      <c r="H36" s="18" t="s">
        <v>0</v>
      </c>
      <c r="I36" s="9">
        <f t="shared" si="2"/>
        <v>0</v>
      </c>
      <c r="L36" s="1" t="s">
        <v>26</v>
      </c>
    </row>
    <row r="37" spans="2:15" ht="21.2" customHeight="1" x14ac:dyDescent="0.25">
      <c r="B37" s="5" t="s">
        <v>14</v>
      </c>
      <c r="C37" s="28"/>
      <c r="D37" s="34">
        <v>1</v>
      </c>
      <c r="E37" s="39">
        <v>5</v>
      </c>
      <c r="F37" s="65">
        <f t="shared" si="3"/>
        <v>1</v>
      </c>
      <c r="G37" s="29"/>
      <c r="H37" s="18" t="s">
        <v>0</v>
      </c>
      <c r="I37" s="9">
        <f t="shared" si="2"/>
        <v>5</v>
      </c>
    </row>
    <row r="38" spans="2:15" ht="21.2" customHeight="1" x14ac:dyDescent="0.25">
      <c r="B38" s="5" t="s">
        <v>33</v>
      </c>
      <c r="C38" s="28"/>
      <c r="D38" s="34"/>
      <c r="E38" s="39"/>
      <c r="F38" s="65">
        <f t="shared" si="3"/>
        <v>1</v>
      </c>
      <c r="G38" s="29"/>
      <c r="H38" s="18" t="s">
        <v>0</v>
      </c>
      <c r="I38" s="9">
        <f t="shared" si="2"/>
        <v>0</v>
      </c>
    </row>
    <row r="39" spans="2:15" ht="21.2" customHeight="1" x14ac:dyDescent="0.25">
      <c r="B39" s="7" t="s">
        <v>2</v>
      </c>
      <c r="C39" s="30" t="s">
        <v>36</v>
      </c>
      <c r="D39" s="34">
        <v>1</v>
      </c>
      <c r="E39" s="39">
        <v>10</v>
      </c>
      <c r="F39" s="65">
        <f t="shared" si="3"/>
        <v>1</v>
      </c>
      <c r="G39" s="31"/>
      <c r="H39" s="18" t="s">
        <v>0</v>
      </c>
      <c r="I39" s="9">
        <f t="shared" si="2"/>
        <v>10</v>
      </c>
      <c r="K39" s="11"/>
    </row>
    <row r="40" spans="2:15" ht="21.2" customHeight="1" x14ac:dyDescent="0.25">
      <c r="B40" s="193" t="s">
        <v>2</v>
      </c>
      <c r="C40" s="194" t="s">
        <v>195</v>
      </c>
      <c r="D40" s="34">
        <v>1</v>
      </c>
      <c r="E40" s="39">
        <v>90</v>
      </c>
      <c r="F40" s="65">
        <f t="shared" si="3"/>
        <v>1</v>
      </c>
      <c r="G40" s="31"/>
      <c r="H40" s="18" t="s">
        <v>0</v>
      </c>
      <c r="I40" s="9">
        <f t="shared" si="2"/>
        <v>90</v>
      </c>
      <c r="K40" s="11"/>
    </row>
    <row r="41" spans="2:15" ht="21.2" customHeight="1" x14ac:dyDescent="0.25">
      <c r="B41" s="186" t="s">
        <v>170</v>
      </c>
      <c r="C41" s="192"/>
      <c r="D41" s="191">
        <v>0.04</v>
      </c>
      <c r="E41" s="190">
        <f>(E17+E14)/2</f>
        <v>5168.0672268907565</v>
      </c>
      <c r="F41" s="189">
        <f t="shared" si="3"/>
        <v>1</v>
      </c>
      <c r="G41" s="31"/>
      <c r="H41" s="187" t="s">
        <v>0</v>
      </c>
      <c r="I41" s="188">
        <f>E41*D41*F41</f>
        <v>206.72268907563026</v>
      </c>
      <c r="K41" s="11"/>
    </row>
    <row r="42" spans="2:15" s="825" customFormat="1" ht="24.75" customHeight="1" thickBot="1" x14ac:dyDescent="0.35">
      <c r="B42" s="1030" t="s">
        <v>62</v>
      </c>
      <c r="C42" s="1031"/>
      <c r="D42" s="1031"/>
      <c r="E42" s="1031"/>
      <c r="F42" s="1031"/>
      <c r="G42" s="1032"/>
      <c r="H42" s="829" t="s">
        <v>0</v>
      </c>
      <c r="I42" s="830">
        <f>SUM(I17:I41)</f>
        <v>4865.4476890756296</v>
      </c>
    </row>
    <row r="43" spans="2:15" ht="28.5" customHeight="1" thickTop="1" x14ac:dyDescent="0.35">
      <c r="B43" s="833" t="s">
        <v>127</v>
      </c>
      <c r="C43" s="834"/>
      <c r="D43" s="835"/>
      <c r="E43" s="835"/>
      <c r="F43" s="835"/>
      <c r="G43" s="835"/>
      <c r="H43" s="149" t="s">
        <v>0</v>
      </c>
      <c r="I43" s="836">
        <f>I15-I42</f>
        <v>-1596.5401260504195</v>
      </c>
      <c r="J43" s="13"/>
      <c r="K43" s="8"/>
      <c r="L43" s="43"/>
    </row>
    <row r="44" spans="2:15" s="2" customFormat="1" ht="38.450000000000003" customHeight="1" thickBot="1" x14ac:dyDescent="0.4">
      <c r="B44" s="1039" t="s">
        <v>452</v>
      </c>
      <c r="C44" s="1040"/>
      <c r="D44" s="1040"/>
      <c r="E44" s="837">
        <f>(I42-I11-I12-I14)/D10*M10</f>
        <v>8214.1182142857124</v>
      </c>
      <c r="F44" s="2" t="s">
        <v>451</v>
      </c>
      <c r="H44" s="209"/>
      <c r="I44" s="831"/>
      <c r="K44" s="225"/>
      <c r="L44" s="226"/>
    </row>
    <row r="45" spans="2:15" ht="23.25" customHeight="1" x14ac:dyDescent="0.25">
      <c r="B45" s="888" t="s">
        <v>56</v>
      </c>
      <c r="C45" s="889"/>
      <c r="D45" s="82">
        <v>150</v>
      </c>
      <c r="E45" s="76" t="s">
        <v>63</v>
      </c>
      <c r="F45" s="96">
        <v>18</v>
      </c>
      <c r="G45" s="93" t="s">
        <v>48</v>
      </c>
      <c r="H45" s="77" t="s">
        <v>0</v>
      </c>
      <c r="I45" s="78">
        <f>D45*F45</f>
        <v>2700</v>
      </c>
      <c r="J45" s="13"/>
      <c r="K45" s="8"/>
      <c r="L45" s="546" t="s">
        <v>279</v>
      </c>
      <c r="M45" s="857" t="s">
        <v>280</v>
      </c>
      <c r="N45" s="857"/>
      <c r="O45" s="547" t="s">
        <v>281</v>
      </c>
    </row>
    <row r="46" spans="2:15" ht="23.25" customHeight="1" x14ac:dyDescent="0.25">
      <c r="B46" s="890" t="s">
        <v>52</v>
      </c>
      <c r="C46" s="891"/>
      <c r="D46" s="488">
        <v>7000</v>
      </c>
      <c r="E46" s="79" t="s">
        <v>255</v>
      </c>
      <c r="F46" s="549">
        <f>SUM(L46:O46)*100</f>
        <v>6.0000000000000009</v>
      </c>
      <c r="G46" s="94" t="s">
        <v>254</v>
      </c>
      <c r="H46" s="80" t="s">
        <v>0</v>
      </c>
      <c r="I46" s="81">
        <f>D46*F46/100</f>
        <v>420.00000000000006</v>
      </c>
      <c r="J46" s="13"/>
      <c r="K46" s="225" t="s">
        <v>318</v>
      </c>
      <c r="L46" s="577">
        <v>0.03</v>
      </c>
      <c r="M46" s="925">
        <v>0.02</v>
      </c>
      <c r="N46" s="926"/>
      <c r="O46" s="577">
        <v>0.01</v>
      </c>
    </row>
    <row r="47" spans="2:15" ht="23.25" customHeight="1" x14ac:dyDescent="0.25">
      <c r="B47" s="890" t="s">
        <v>53</v>
      </c>
      <c r="C47" s="891"/>
      <c r="D47" s="488"/>
      <c r="E47" s="79" t="s">
        <v>255</v>
      </c>
      <c r="F47" s="549">
        <f>SUM(L47:O47)*100</f>
        <v>6.5</v>
      </c>
      <c r="G47" s="94" t="s">
        <v>254</v>
      </c>
      <c r="H47" s="80" t="s">
        <v>0</v>
      </c>
      <c r="I47" s="81">
        <f>D47*F47/100</f>
        <v>0</v>
      </c>
      <c r="J47" s="13"/>
      <c r="K47" s="225" t="s">
        <v>319</v>
      </c>
      <c r="L47" s="577">
        <v>2.5000000000000001E-2</v>
      </c>
      <c r="M47" s="925">
        <v>0.02</v>
      </c>
      <c r="N47" s="926"/>
      <c r="O47" s="577">
        <v>0.02</v>
      </c>
    </row>
    <row r="48" spans="2:15" ht="23.25" customHeight="1" x14ac:dyDescent="0.25">
      <c r="B48" s="890" t="s">
        <v>135</v>
      </c>
      <c r="C48" s="891"/>
      <c r="D48" s="488">
        <v>1000</v>
      </c>
      <c r="E48" s="79" t="s">
        <v>255</v>
      </c>
      <c r="F48" s="549">
        <f>SUM(L48:O48)*100</f>
        <v>10</v>
      </c>
      <c r="G48" s="94" t="s">
        <v>254</v>
      </c>
      <c r="H48" s="80" t="s">
        <v>0</v>
      </c>
      <c r="I48" s="81">
        <f>D48*F48/100</f>
        <v>100</v>
      </c>
      <c r="J48" s="13"/>
      <c r="K48" s="225" t="s">
        <v>320</v>
      </c>
      <c r="L48" s="577">
        <v>0.08</v>
      </c>
      <c r="M48" s="925">
        <v>0.02</v>
      </c>
      <c r="N48" s="926"/>
      <c r="O48" s="578"/>
    </row>
    <row r="49" spans="2:19" ht="23.25" customHeight="1" x14ac:dyDescent="0.25">
      <c r="B49" s="890" t="s">
        <v>391</v>
      </c>
      <c r="C49" s="891"/>
      <c r="D49" s="490">
        <v>0.5</v>
      </c>
      <c r="E49" s="79" t="s">
        <v>64</v>
      </c>
      <c r="F49" s="97">
        <v>200</v>
      </c>
      <c r="G49" s="94" t="s">
        <v>34</v>
      </c>
      <c r="H49" s="80" t="s">
        <v>0</v>
      </c>
      <c r="I49" s="81">
        <f>D49*F49</f>
        <v>100</v>
      </c>
      <c r="J49" s="13"/>
      <c r="K49" s="8"/>
      <c r="L49" s="43"/>
    </row>
    <row r="50" spans="2:19" ht="23.25" customHeight="1" x14ac:dyDescent="0.25">
      <c r="B50" s="898" t="s">
        <v>137</v>
      </c>
      <c r="C50" s="899"/>
      <c r="D50" s="488">
        <v>20000</v>
      </c>
      <c r="E50" s="79" t="s">
        <v>256</v>
      </c>
      <c r="F50" s="488">
        <v>250</v>
      </c>
      <c r="G50" s="95" t="s">
        <v>257</v>
      </c>
      <c r="H50" s="19" t="s">
        <v>0</v>
      </c>
      <c r="I50" s="75">
        <f>F50</f>
        <v>250</v>
      </c>
      <c r="J50" s="13"/>
      <c r="K50" s="8"/>
      <c r="L50" s="43"/>
    </row>
    <row r="51" spans="2:19" ht="23.25" customHeight="1" thickBot="1" x14ac:dyDescent="0.35">
      <c r="B51" s="892" t="s">
        <v>65</v>
      </c>
      <c r="C51" s="893"/>
      <c r="D51" s="893"/>
      <c r="E51" s="893"/>
      <c r="F51" s="893"/>
      <c r="G51" s="894"/>
      <c r="H51" s="770" t="s">
        <v>0</v>
      </c>
      <c r="I51" s="771">
        <f>SUM(I45:I50)</f>
        <v>3570</v>
      </c>
      <c r="J51" s="13"/>
      <c r="K51" s="8"/>
      <c r="L51" s="43"/>
    </row>
    <row r="52" spans="2:19" ht="23.25" customHeight="1" thickBot="1" x14ac:dyDescent="0.35">
      <c r="B52" s="764" t="s">
        <v>379</v>
      </c>
      <c r="C52" s="765"/>
      <c r="D52" s="765"/>
      <c r="E52" s="765"/>
      <c r="F52" s="765"/>
      <c r="G52" s="766"/>
      <c r="H52" s="767" t="s">
        <v>0</v>
      </c>
      <c r="I52" s="768">
        <f>I42+I51</f>
        <v>8435.4476890756305</v>
      </c>
      <c r="J52" s="13">
        <f>J42+J51</f>
        <v>0</v>
      </c>
      <c r="K52" s="8"/>
      <c r="L52" s="43"/>
    </row>
    <row r="53" spans="2:19" ht="25.5" customHeight="1" thickTop="1" x14ac:dyDescent="0.35">
      <c r="B53" s="761" t="s">
        <v>378</v>
      </c>
      <c r="C53" s="232"/>
      <c r="D53" s="232"/>
      <c r="E53" s="232"/>
      <c r="F53" s="232"/>
      <c r="G53" s="233"/>
      <c r="H53" s="240" t="s">
        <v>0</v>
      </c>
      <c r="I53" s="241">
        <f>I15-I52</f>
        <v>-5166.5401260504204</v>
      </c>
      <c r="J53" s="13">
        <f>J15-J52</f>
        <v>0</v>
      </c>
      <c r="K53" s="1028" t="s">
        <v>213</v>
      </c>
      <c r="L53" s="1029"/>
      <c r="M53" s="1029"/>
      <c r="N53" s="1029"/>
      <c r="O53" s="1029"/>
      <c r="P53" s="1029"/>
      <c r="Q53" s="1029"/>
      <c r="R53" s="1029"/>
      <c r="S53" s="1029"/>
    </row>
    <row r="54" spans="2:19" ht="25.5" customHeight="1" x14ac:dyDescent="0.35">
      <c r="B54" s="242" t="s">
        <v>191</v>
      </c>
      <c r="C54" s="243"/>
      <c r="D54" s="243"/>
      <c r="E54" s="243"/>
      <c r="F54" s="243"/>
      <c r="G54" s="244" t="s">
        <v>206</v>
      </c>
      <c r="H54" s="237" t="s">
        <v>0</v>
      </c>
      <c r="I54" s="238">
        <f>I53+I45</f>
        <v>-2466.5401260504204</v>
      </c>
      <c r="J54" s="13"/>
      <c r="K54" s="1029"/>
      <c r="L54" s="1029"/>
      <c r="M54" s="1029"/>
      <c r="N54" s="1029"/>
      <c r="O54" s="1029"/>
      <c r="P54" s="1029"/>
      <c r="Q54" s="1029"/>
      <c r="R54" s="1029"/>
      <c r="S54" s="1029"/>
    </row>
    <row r="55" spans="2:19" ht="25.5" customHeight="1" x14ac:dyDescent="0.35">
      <c r="B55" s="245"/>
      <c r="C55" s="246"/>
      <c r="D55" s="246"/>
      <c r="E55" s="246"/>
      <c r="F55" s="246"/>
      <c r="G55" s="246" t="s">
        <v>192</v>
      </c>
      <c r="H55" s="247" t="s">
        <v>0</v>
      </c>
      <c r="I55" s="248">
        <f>IF(D45=0,0,I54/D45)</f>
        <v>-16.443600840336135</v>
      </c>
      <c r="J55" s="13"/>
      <c r="K55" s="1029"/>
      <c r="L55" s="1029"/>
      <c r="M55" s="1029"/>
      <c r="N55" s="1029"/>
      <c r="O55" s="1029"/>
      <c r="P55" s="1029"/>
      <c r="Q55" s="1029"/>
      <c r="R55" s="1029"/>
      <c r="S55" s="1029"/>
    </row>
    <row r="56" spans="2:19" ht="45.75" customHeight="1" thickBot="1" x14ac:dyDescent="0.4">
      <c r="B56" s="880" t="s">
        <v>71</v>
      </c>
      <c r="C56" s="881"/>
      <c r="D56" s="881"/>
      <c r="E56" s="91" t="s">
        <v>49</v>
      </c>
      <c r="F56" s="231">
        <f>(I42+I51-I11-I12-I13-I14)/D10</f>
        <v>12002.620348139259</v>
      </c>
      <c r="G56" s="89" t="s">
        <v>43</v>
      </c>
      <c r="H56" s="90" t="s">
        <v>0</v>
      </c>
      <c r="I56" s="227">
        <f>F56*M10</f>
        <v>14283.118214285718</v>
      </c>
      <c r="J56" s="13"/>
      <c r="K56" s="8"/>
      <c r="L56" s="43"/>
    </row>
    <row r="57" spans="2:19" ht="39.200000000000003" customHeight="1" x14ac:dyDescent="0.25">
      <c r="B57" s="3"/>
      <c r="C57" s="3"/>
      <c r="D57" s="3"/>
      <c r="E57" s="3"/>
      <c r="F57" s="3"/>
      <c r="G57" s="12"/>
      <c r="H57" s="4"/>
      <c r="I57" s="177"/>
      <c r="J57" s="13"/>
    </row>
    <row r="59" spans="2:19" x14ac:dyDescent="0.25">
      <c r="F59" s="11"/>
      <c r="G59" s="1"/>
    </row>
  </sheetData>
  <sheetProtection sheet="1" objects="1" scenarios="1"/>
  <mergeCells count="28">
    <mergeCell ref="K5:N5"/>
    <mergeCell ref="B47:C47"/>
    <mergeCell ref="B2:I2"/>
    <mergeCell ref="B3:C3"/>
    <mergeCell ref="D3:E3"/>
    <mergeCell ref="F4:I4"/>
    <mergeCell ref="B4:C5"/>
    <mergeCell ref="B6:E6"/>
    <mergeCell ref="H6:I6"/>
    <mergeCell ref="D4:D5"/>
    <mergeCell ref="E4:E5"/>
    <mergeCell ref="F5:I5"/>
    <mergeCell ref="B44:D44"/>
    <mergeCell ref="K53:S55"/>
    <mergeCell ref="M46:N46"/>
    <mergeCell ref="M48:N48"/>
    <mergeCell ref="B56:D56"/>
    <mergeCell ref="K16:Q16"/>
    <mergeCell ref="H16:I16"/>
    <mergeCell ref="B42:G42"/>
    <mergeCell ref="B45:C45"/>
    <mergeCell ref="B46:C46"/>
    <mergeCell ref="B49:C49"/>
    <mergeCell ref="B51:G51"/>
    <mergeCell ref="B48:C48"/>
    <mergeCell ref="B50:C50"/>
    <mergeCell ref="M47:N47"/>
    <mergeCell ref="M45:N45"/>
  </mergeCells>
  <phoneticPr fontId="0" type="noConversion"/>
  <printOptions headings="1"/>
  <pageMargins left="0.70866141732283472" right="0.51181102362204722" top="0.59055118110236227" bottom="0.39370078740157483" header="0.31496062992125984" footer="0.31496062992125984"/>
  <pageSetup paperSize="9" scale="63" orientation="portrait" verticalDpi="1200" r:id="rId1"/>
  <headerFooter>
    <oddFooter>&amp;L&amp;F&amp;C&amp;A&amp;R&amp;D</oddFooter>
  </headerFooter>
  <rowBreaks count="1" manualBreakCount="1">
    <brk id="56"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59"/>
  <sheetViews>
    <sheetView showGridLines="0" showZeros="0" zoomScale="70" zoomScaleNormal="70" zoomScaleSheetLayoutView="75" workbookViewId="0">
      <selection activeCell="J67" sqref="J67"/>
    </sheetView>
  </sheetViews>
  <sheetFormatPr baseColWidth="10" defaultColWidth="11.28515625" defaultRowHeight="18" x14ac:dyDescent="0.25"/>
  <cols>
    <col min="1" max="1" width="1.85546875" style="2" customWidth="1"/>
    <col min="2" max="2" width="26" style="2" customWidth="1"/>
    <col min="3" max="3" width="28.28515625" style="2" customWidth="1"/>
    <col min="4" max="4" width="12.28515625" style="2" customWidth="1"/>
    <col min="5" max="5" width="19.140625" style="2" customWidth="1"/>
    <col min="6" max="6" width="12.7109375" style="2" customWidth="1"/>
    <col min="7" max="7" width="21" style="11" customWidth="1"/>
    <col min="8" max="8" width="5.28515625" style="2" customWidth="1"/>
    <col min="9" max="9" width="14.7109375" style="2" customWidth="1"/>
    <col min="10" max="10" width="4.85546875" style="2" customWidth="1"/>
    <col min="11" max="11" width="16.7109375" style="2" customWidth="1"/>
    <col min="12" max="12" width="13.28515625" style="2" customWidth="1"/>
    <col min="13" max="13" width="15.7109375" style="2" customWidth="1"/>
    <col min="14" max="14" width="11.28515625" style="2"/>
    <col min="15" max="15" width="19.5703125" style="2" customWidth="1"/>
    <col min="16" max="16" width="7.7109375" style="2" customWidth="1"/>
    <col min="17" max="17" width="7.140625" style="2" customWidth="1"/>
    <col min="18" max="18" width="3.7109375" style="2" customWidth="1"/>
    <col min="19" max="19" width="4.7109375" style="2" customWidth="1"/>
    <col min="20" max="16384" width="11.28515625" style="2"/>
  </cols>
  <sheetData>
    <row r="1" spans="2:18" ht="5.25" customHeight="1" thickBot="1" x14ac:dyDescent="0.3"/>
    <row r="2" spans="2:18" ht="36" customHeight="1" thickBot="1" x14ac:dyDescent="0.3">
      <c r="B2" s="866" t="s">
        <v>375</v>
      </c>
      <c r="C2" s="867"/>
      <c r="D2" s="867"/>
      <c r="E2" s="867"/>
      <c r="F2" s="867"/>
      <c r="G2" s="867"/>
      <c r="H2" s="867"/>
      <c r="I2" s="868"/>
    </row>
    <row r="3" spans="2:18" ht="42" customHeight="1" x14ac:dyDescent="0.25">
      <c r="B3" s="869" t="s">
        <v>59</v>
      </c>
      <c r="C3" s="870"/>
      <c r="D3" s="871" t="s">
        <v>178</v>
      </c>
      <c r="E3" s="872"/>
      <c r="F3" s="493"/>
      <c r="G3" s="234" t="s">
        <v>175</v>
      </c>
      <c r="H3" s="217" t="s">
        <v>177</v>
      </c>
      <c r="I3" s="235" t="s">
        <v>176</v>
      </c>
      <c r="J3" s="3"/>
      <c r="K3" s="1041" t="s">
        <v>188</v>
      </c>
      <c r="L3" s="1041"/>
      <c r="M3" s="1041"/>
      <c r="N3" s="1041"/>
    </row>
    <row r="4" spans="2:18" ht="22.7" customHeight="1" x14ac:dyDescent="0.25">
      <c r="B4" s="876"/>
      <c r="C4" s="921"/>
      <c r="D4" s="906" t="s">
        <v>23</v>
      </c>
      <c r="E4" s="863" t="s">
        <v>454</v>
      </c>
      <c r="F4" s="873" t="s">
        <v>4</v>
      </c>
      <c r="G4" s="874"/>
      <c r="H4" s="874"/>
      <c r="I4" s="875"/>
      <c r="K4" s="1041"/>
      <c r="L4" s="1041"/>
      <c r="M4" s="1041"/>
      <c r="N4" s="1041"/>
      <c r="O4" s="11"/>
      <c r="P4" s="11"/>
      <c r="Q4" s="11"/>
    </row>
    <row r="5" spans="2:18" ht="67.7" customHeight="1" x14ac:dyDescent="0.25">
      <c r="B5" s="922"/>
      <c r="C5" s="923"/>
      <c r="D5" s="1036"/>
      <c r="E5" s="1045"/>
      <c r="F5" s="860" t="s">
        <v>384</v>
      </c>
      <c r="G5" s="861"/>
      <c r="H5" s="861"/>
      <c r="I5" s="862"/>
      <c r="L5" s="534"/>
      <c r="M5" s="11"/>
      <c r="N5" s="11"/>
      <c r="O5" s="11"/>
      <c r="P5" s="11"/>
      <c r="Q5" s="11"/>
    </row>
    <row r="6" spans="2:18" ht="24" customHeight="1" thickBot="1" x14ac:dyDescent="0.3">
      <c r="B6" s="1033" t="s">
        <v>172</v>
      </c>
      <c r="C6" s="1034"/>
      <c r="D6" s="1034"/>
      <c r="E6" s="1035"/>
      <c r="F6" s="174">
        <v>10</v>
      </c>
      <c r="G6" s="184" t="s">
        <v>24</v>
      </c>
      <c r="H6" s="858" t="s">
        <v>160</v>
      </c>
      <c r="I6" s="859"/>
      <c r="K6" s="63"/>
      <c r="L6" s="201" t="s">
        <v>185</v>
      </c>
      <c r="M6" s="202" t="s">
        <v>182</v>
      </c>
      <c r="N6" s="219"/>
      <c r="O6" s="201" t="s">
        <v>187</v>
      </c>
      <c r="P6" s="11"/>
      <c r="Q6" s="11"/>
    </row>
    <row r="7" spans="2:18" ht="24" hidden="1" customHeight="1" x14ac:dyDescent="0.25">
      <c r="B7" s="497"/>
      <c r="C7" s="498"/>
      <c r="D7" s="498"/>
      <c r="E7" s="499"/>
      <c r="F7" s="500"/>
      <c r="G7" s="501"/>
      <c r="H7" s="502"/>
      <c r="I7" s="503"/>
      <c r="K7" s="63"/>
      <c r="L7" s="11"/>
      <c r="M7" s="11"/>
      <c r="N7" s="11"/>
      <c r="O7" s="11"/>
      <c r="P7" s="11"/>
      <c r="Q7" s="11"/>
    </row>
    <row r="8" spans="2:18" ht="24" hidden="1" customHeight="1" x14ac:dyDescent="0.25">
      <c r="B8" s="497"/>
      <c r="C8" s="498"/>
      <c r="D8" s="498"/>
      <c r="E8" s="499"/>
      <c r="F8" s="500"/>
      <c r="G8" s="501"/>
      <c r="H8" s="502"/>
      <c r="I8" s="503"/>
      <c r="K8" s="63"/>
      <c r="L8" s="11"/>
      <c r="M8" s="11"/>
      <c r="N8" s="11"/>
      <c r="O8" s="11"/>
      <c r="P8" s="11"/>
      <c r="Q8" s="11"/>
    </row>
    <row r="9" spans="2:18" ht="24" hidden="1" customHeight="1" x14ac:dyDescent="0.25">
      <c r="B9" s="497"/>
      <c r="C9" s="498"/>
      <c r="D9" s="498"/>
      <c r="E9" s="499"/>
      <c r="F9" s="500"/>
      <c r="G9" s="501"/>
      <c r="H9" s="502"/>
      <c r="I9" s="503"/>
      <c r="K9" s="63"/>
      <c r="L9" s="11"/>
      <c r="M9" s="11"/>
      <c r="N9" s="11"/>
      <c r="O9" s="11"/>
      <c r="P9" s="11"/>
      <c r="Q9" s="11"/>
    </row>
    <row r="10" spans="2:18" ht="21.2" customHeight="1" x14ac:dyDescent="0.25">
      <c r="B10" s="14" t="s">
        <v>3</v>
      </c>
      <c r="C10" s="32" t="s">
        <v>171</v>
      </c>
      <c r="D10" s="41">
        <v>0.7</v>
      </c>
      <c r="E10" s="426">
        <f>F10/M10</f>
        <v>5022.8310502283102</v>
      </c>
      <c r="F10" s="425">
        <v>5500</v>
      </c>
      <c r="G10" s="198" t="s">
        <v>43</v>
      </c>
      <c r="H10" s="20" t="s">
        <v>0</v>
      </c>
      <c r="I10" s="218">
        <f>D10*F10</f>
        <v>3849.9999999999995</v>
      </c>
      <c r="J10" s="1043" t="s">
        <v>376</v>
      </c>
      <c r="K10" s="1044"/>
      <c r="L10" s="199">
        <v>9.5000000000000001E-2</v>
      </c>
      <c r="M10" s="762">
        <f>1+L10</f>
        <v>1.095</v>
      </c>
      <c r="O10" s="66" t="s">
        <v>181</v>
      </c>
      <c r="P10" s="11"/>
      <c r="Q10" s="11"/>
    </row>
    <row r="11" spans="2:18" ht="21.2" customHeight="1" x14ac:dyDescent="0.25">
      <c r="B11" s="5" t="s">
        <v>5</v>
      </c>
      <c r="C11" s="28"/>
      <c r="D11" s="42"/>
      <c r="E11" s="426">
        <f t="shared" ref="E11:E14" si="0">F11/M11</f>
        <v>0</v>
      </c>
      <c r="F11" s="425"/>
      <c r="G11" s="198" t="s">
        <v>43</v>
      </c>
      <c r="H11" s="18" t="s">
        <v>0</v>
      </c>
      <c r="I11" s="218">
        <f t="shared" ref="I11:I14" si="1">D11*F11</f>
        <v>0</v>
      </c>
      <c r="J11" s="1043"/>
      <c r="K11" s="1044"/>
      <c r="L11" s="199">
        <v>9.5000000000000001E-2</v>
      </c>
      <c r="M11" s="762">
        <f t="shared" ref="M11:M14" si="2">1+L11</f>
        <v>1.095</v>
      </c>
    </row>
    <row r="12" spans="2:18" ht="21.2" customHeight="1" x14ac:dyDescent="0.25">
      <c r="B12" s="5" t="s">
        <v>5</v>
      </c>
      <c r="C12" s="28"/>
      <c r="D12" s="42"/>
      <c r="E12" s="426">
        <f t="shared" si="0"/>
        <v>0</v>
      </c>
      <c r="F12" s="425"/>
      <c r="G12" s="198" t="s">
        <v>43</v>
      </c>
      <c r="H12" s="18" t="s">
        <v>0</v>
      </c>
      <c r="I12" s="218">
        <f t="shared" si="1"/>
        <v>0</v>
      </c>
      <c r="J12" s="1043"/>
      <c r="K12" s="1044"/>
      <c r="L12" s="199">
        <v>9.5000000000000001E-2</v>
      </c>
      <c r="M12" s="762">
        <f t="shared" si="2"/>
        <v>1.095</v>
      </c>
      <c r="P12" s="67"/>
    </row>
    <row r="13" spans="2:18" ht="21.2" hidden="1" customHeight="1" x14ac:dyDescent="0.25">
      <c r="B13" s="5" t="s">
        <v>5</v>
      </c>
      <c r="C13" s="28"/>
      <c r="D13" s="42"/>
      <c r="E13" s="426">
        <f t="shared" si="0"/>
        <v>0</v>
      </c>
      <c r="F13" s="425"/>
      <c r="G13" s="198" t="s">
        <v>43</v>
      </c>
      <c r="H13" s="18" t="s">
        <v>0</v>
      </c>
      <c r="I13" s="218">
        <f t="shared" si="1"/>
        <v>0</v>
      </c>
      <c r="J13" s="1043"/>
      <c r="K13" s="1044"/>
      <c r="L13" s="199">
        <v>9.5000000000000001E-2</v>
      </c>
      <c r="M13" s="762">
        <f t="shared" si="2"/>
        <v>1.095</v>
      </c>
    </row>
    <row r="14" spans="2:18" ht="21.2" customHeight="1" x14ac:dyDescent="0.25">
      <c r="B14" s="5" t="s">
        <v>5</v>
      </c>
      <c r="C14" s="173" t="s">
        <v>208</v>
      </c>
      <c r="D14" s="85">
        <f>1/F6</f>
        <v>0.1</v>
      </c>
      <c r="E14" s="426">
        <f t="shared" si="0"/>
        <v>365.29680365296804</v>
      </c>
      <c r="F14" s="425">
        <v>400</v>
      </c>
      <c r="G14" s="198" t="s">
        <v>43</v>
      </c>
      <c r="H14" s="18" t="s">
        <v>0</v>
      </c>
      <c r="I14" s="218">
        <f t="shared" si="1"/>
        <v>40</v>
      </c>
      <c r="J14" s="1043"/>
      <c r="K14" s="1044"/>
      <c r="L14" s="199">
        <v>9.5000000000000001E-2</v>
      </c>
      <c r="M14" s="762">
        <f t="shared" si="2"/>
        <v>1.095</v>
      </c>
      <c r="P14" s="67"/>
      <c r="R14" s="67"/>
    </row>
    <row r="15" spans="2:18" ht="24.75" customHeight="1" thickBot="1" x14ac:dyDescent="0.35">
      <c r="B15" s="23" t="s">
        <v>57</v>
      </c>
      <c r="C15" s="24"/>
      <c r="D15" s="25"/>
      <c r="E15" s="25"/>
      <c r="F15" s="25"/>
      <c r="G15" s="26"/>
      <c r="H15" s="27" t="s">
        <v>0</v>
      </c>
      <c r="I15" s="59">
        <f>SUM(I10:I14)</f>
        <v>3889.9999999999995</v>
      </c>
      <c r="K15" s="11"/>
      <c r="O15" s="66"/>
    </row>
    <row r="16" spans="2:18" ht="39.75" customHeight="1" x14ac:dyDescent="0.25">
      <c r="B16" s="53" t="s">
        <v>162</v>
      </c>
      <c r="C16" s="54"/>
      <c r="D16" s="55" t="s">
        <v>126</v>
      </c>
      <c r="E16" s="55" t="s">
        <v>179</v>
      </c>
      <c r="F16" s="56"/>
      <c r="G16" s="57" t="s">
        <v>17</v>
      </c>
      <c r="H16" s="883" t="s">
        <v>161</v>
      </c>
      <c r="I16" s="884"/>
      <c r="K16" s="1042" t="s">
        <v>381</v>
      </c>
      <c r="L16" s="1042"/>
      <c r="M16" s="1042"/>
      <c r="Q16" s="746"/>
    </row>
    <row r="17" spans="2:16" ht="21.2" customHeight="1" x14ac:dyDescent="0.25">
      <c r="B17" s="14" t="s">
        <v>173</v>
      </c>
      <c r="C17" s="52"/>
      <c r="D17" s="85">
        <f>1/F6</f>
        <v>0.1</v>
      </c>
      <c r="E17" s="51">
        <v>10950</v>
      </c>
      <c r="F17" s="98"/>
      <c r="G17" s="550" t="s">
        <v>43</v>
      </c>
      <c r="H17" s="20" t="s">
        <v>0</v>
      </c>
      <c r="I17" s="220">
        <f>D17*E17</f>
        <v>1095</v>
      </c>
      <c r="K17" s="11" t="s">
        <v>447</v>
      </c>
    </row>
    <row r="18" spans="2:16" ht="21.2" customHeight="1" x14ac:dyDescent="0.25">
      <c r="B18" s="5"/>
      <c r="C18" s="6"/>
      <c r="D18" s="16" t="s">
        <v>37</v>
      </c>
      <c r="E18" s="17" t="s">
        <v>38</v>
      </c>
      <c r="F18" s="16" t="s">
        <v>39</v>
      </c>
      <c r="G18" s="69" t="s">
        <v>125</v>
      </c>
      <c r="H18" s="18" t="s">
        <v>0</v>
      </c>
      <c r="I18" s="221"/>
      <c r="K18" s="11" t="s">
        <v>448</v>
      </c>
    </row>
    <row r="19" spans="2:16" ht="21.2" customHeight="1" x14ac:dyDescent="0.25">
      <c r="B19" s="5" t="s">
        <v>18</v>
      </c>
      <c r="C19" s="28" t="s">
        <v>45</v>
      </c>
      <c r="D19" s="44">
        <v>1.5</v>
      </c>
      <c r="E19" s="35">
        <v>0.32</v>
      </c>
      <c r="F19" s="36">
        <v>365</v>
      </c>
      <c r="G19" s="102">
        <f t="shared" ref="G19:G26" si="3">D19*F19/100</f>
        <v>5.4749999999999996</v>
      </c>
      <c r="H19" s="18" t="s">
        <v>0</v>
      </c>
      <c r="I19" s="220">
        <f t="shared" ref="I19:I26" si="4">D19*E19*F19</f>
        <v>175.2</v>
      </c>
      <c r="K19" s="11" t="s">
        <v>446</v>
      </c>
    </row>
    <row r="20" spans="2:16" ht="21.2" customHeight="1" x14ac:dyDescent="0.25">
      <c r="B20" s="5" t="s">
        <v>19</v>
      </c>
      <c r="C20" s="28" t="s">
        <v>243</v>
      </c>
      <c r="D20" s="44">
        <v>3</v>
      </c>
      <c r="E20" s="35">
        <v>0.43</v>
      </c>
      <c r="F20" s="36">
        <v>250</v>
      </c>
      <c r="G20" s="102">
        <f t="shared" si="3"/>
        <v>7.5</v>
      </c>
      <c r="H20" s="18" t="s">
        <v>0</v>
      </c>
      <c r="I20" s="220">
        <f t="shared" si="4"/>
        <v>322.5</v>
      </c>
      <c r="K20" s="11" t="s">
        <v>165</v>
      </c>
      <c r="L20" s="11"/>
    </row>
    <row r="21" spans="2:16" ht="21.2" customHeight="1" x14ac:dyDescent="0.25">
      <c r="B21" s="5" t="s">
        <v>20</v>
      </c>
      <c r="C21" s="28" t="s">
        <v>41</v>
      </c>
      <c r="D21" s="44">
        <v>0.05</v>
      </c>
      <c r="E21" s="35">
        <v>1.6</v>
      </c>
      <c r="F21" s="36">
        <v>365</v>
      </c>
      <c r="G21" s="103">
        <f t="shared" si="3"/>
        <v>0.1825</v>
      </c>
      <c r="H21" s="18" t="s">
        <v>0</v>
      </c>
      <c r="I21" s="220">
        <f t="shared" si="4"/>
        <v>29.200000000000006</v>
      </c>
      <c r="K21" s="11" t="s">
        <v>60</v>
      </c>
      <c r="L21" s="11"/>
    </row>
    <row r="22" spans="2:16" ht="21.2" customHeight="1" x14ac:dyDescent="0.25">
      <c r="B22" s="5" t="s">
        <v>21</v>
      </c>
      <c r="C22" s="28" t="s">
        <v>244</v>
      </c>
      <c r="D22" s="44">
        <v>1</v>
      </c>
      <c r="E22" s="35">
        <v>0.64</v>
      </c>
      <c r="F22" s="36">
        <v>60</v>
      </c>
      <c r="G22" s="102">
        <f t="shared" si="3"/>
        <v>0.6</v>
      </c>
      <c r="H22" s="18" t="s">
        <v>0</v>
      </c>
      <c r="I22" s="220">
        <f t="shared" si="4"/>
        <v>38.4</v>
      </c>
      <c r="K22" s="11"/>
      <c r="L22" s="11"/>
    </row>
    <row r="23" spans="2:16" ht="21.2" customHeight="1" x14ac:dyDescent="0.25">
      <c r="B23" s="5" t="s">
        <v>22</v>
      </c>
      <c r="C23" s="28" t="s">
        <v>292</v>
      </c>
      <c r="D23" s="44">
        <v>25</v>
      </c>
      <c r="E23" s="35">
        <v>0.04</v>
      </c>
      <c r="F23" s="579">
        <v>185</v>
      </c>
      <c r="G23" s="102">
        <f t="shared" si="3"/>
        <v>46.25</v>
      </c>
      <c r="H23" s="18" t="s">
        <v>0</v>
      </c>
      <c r="I23" s="220">
        <f t="shared" si="4"/>
        <v>185</v>
      </c>
      <c r="K23" s="11"/>
      <c r="L23" s="11"/>
    </row>
    <row r="24" spans="2:16" ht="21.2" customHeight="1" x14ac:dyDescent="0.25">
      <c r="B24" s="451" t="s">
        <v>35</v>
      </c>
      <c r="C24" s="452" t="s">
        <v>282</v>
      </c>
      <c r="D24" s="453">
        <v>10</v>
      </c>
      <c r="E24" s="454">
        <v>0.19</v>
      </c>
      <c r="F24" s="455">
        <v>365</v>
      </c>
      <c r="G24" s="552">
        <f t="shared" si="3"/>
        <v>36.5</v>
      </c>
      <c r="H24" s="457" t="s">
        <v>0</v>
      </c>
      <c r="I24" s="458">
        <f t="shared" si="4"/>
        <v>693.5</v>
      </c>
      <c r="K24" s="2" t="s">
        <v>228</v>
      </c>
      <c r="L24" s="276"/>
      <c r="M24" s="560"/>
      <c r="N24" s="623">
        <f>SUM(I19:I24)</f>
        <v>1443.8</v>
      </c>
    </row>
    <row r="25" spans="2:16" ht="21.2" customHeight="1" x14ac:dyDescent="0.25">
      <c r="B25" s="14" t="s">
        <v>11</v>
      </c>
      <c r="C25" s="32" t="s">
        <v>42</v>
      </c>
      <c r="D25" s="99">
        <v>8</v>
      </c>
      <c r="E25" s="100">
        <v>0.11</v>
      </c>
      <c r="F25" s="38">
        <v>365</v>
      </c>
      <c r="G25" s="551">
        <f t="shared" si="3"/>
        <v>29.2</v>
      </c>
      <c r="H25" s="19" t="s">
        <v>0</v>
      </c>
      <c r="I25" s="218">
        <f t="shared" si="4"/>
        <v>321.2</v>
      </c>
      <c r="N25" s="624"/>
    </row>
    <row r="26" spans="2:16" ht="21.2" customHeight="1" x14ac:dyDescent="0.25">
      <c r="B26" s="5" t="s">
        <v>11</v>
      </c>
      <c r="C26" s="28"/>
      <c r="D26" s="99"/>
      <c r="E26" s="100"/>
      <c r="F26" s="36"/>
      <c r="G26" s="64">
        <f t="shared" si="3"/>
        <v>0</v>
      </c>
      <c r="H26" s="19" t="s">
        <v>0</v>
      </c>
      <c r="I26" s="220">
        <f t="shared" si="4"/>
        <v>0</v>
      </c>
      <c r="K26" s="2" t="s">
        <v>315</v>
      </c>
      <c r="N26" s="626">
        <f>SUM(I25:I26)</f>
        <v>321.2</v>
      </c>
      <c r="P26" s="616"/>
    </row>
    <row r="27" spans="2:16" ht="21.2" customHeight="1" x14ac:dyDescent="0.25">
      <c r="B27" s="14" t="s">
        <v>10</v>
      </c>
      <c r="C27" s="37" t="s">
        <v>27</v>
      </c>
      <c r="D27" s="38">
        <v>130</v>
      </c>
      <c r="E27" s="40">
        <v>2.14</v>
      </c>
      <c r="F27" s="36">
        <v>365</v>
      </c>
      <c r="G27" s="101">
        <f>D27*F27/1000</f>
        <v>47.45</v>
      </c>
      <c r="H27" s="20" t="s">
        <v>0</v>
      </c>
      <c r="I27" s="218">
        <f>D27*E27*F27/1000</f>
        <v>101.54300000000001</v>
      </c>
    </row>
    <row r="28" spans="2:16" ht="21.2" customHeight="1" x14ac:dyDescent="0.25">
      <c r="B28" s="5" t="s">
        <v>1</v>
      </c>
      <c r="C28" s="6"/>
      <c r="D28" s="105"/>
      <c r="E28" s="45"/>
      <c r="F28" s="47"/>
      <c r="G28" s="144"/>
      <c r="H28" s="145" t="s">
        <v>0</v>
      </c>
      <c r="I28" s="222">
        <v>700</v>
      </c>
    </row>
    <row r="29" spans="2:16" ht="21.2" customHeight="1" x14ac:dyDescent="0.25">
      <c r="B29" s="46"/>
      <c r="C29" s="47"/>
      <c r="D29" s="22" t="s">
        <v>23</v>
      </c>
      <c r="E29" s="22" t="s">
        <v>164</v>
      </c>
      <c r="F29" s="22" t="s">
        <v>24</v>
      </c>
      <c r="G29" s="48"/>
      <c r="H29" s="49"/>
      <c r="I29" s="223"/>
    </row>
    <row r="30" spans="2:16" ht="21.2" customHeight="1" x14ac:dyDescent="0.25">
      <c r="B30" s="5" t="s">
        <v>12</v>
      </c>
      <c r="C30" s="6" t="s">
        <v>16</v>
      </c>
      <c r="D30" s="36">
        <v>150</v>
      </c>
      <c r="E30" s="35">
        <v>0.36</v>
      </c>
      <c r="F30" s="65">
        <v>1</v>
      </c>
      <c r="G30" s="29"/>
      <c r="H30" s="18" t="s">
        <v>0</v>
      </c>
      <c r="I30" s="220">
        <f t="shared" ref="I30:I40" si="5">D30*E30*F30</f>
        <v>54</v>
      </c>
    </row>
    <row r="31" spans="2:16" ht="21.2" customHeight="1" x14ac:dyDescent="0.25">
      <c r="B31" s="5" t="s">
        <v>8</v>
      </c>
      <c r="C31" s="6"/>
      <c r="D31" s="36">
        <v>1</v>
      </c>
      <c r="E31" s="39">
        <v>600</v>
      </c>
      <c r="F31" s="65">
        <f t="shared" ref="F31:F41" si="6">$F$30</f>
        <v>1</v>
      </c>
      <c r="G31" s="29"/>
      <c r="H31" s="18" t="s">
        <v>0</v>
      </c>
      <c r="I31" s="220">
        <f t="shared" si="5"/>
        <v>600</v>
      </c>
    </row>
    <row r="32" spans="2:16" ht="21.2" customHeight="1" x14ac:dyDescent="0.25">
      <c r="B32" s="5" t="s">
        <v>7</v>
      </c>
      <c r="C32" s="28"/>
      <c r="D32" s="34">
        <v>8</v>
      </c>
      <c r="E32" s="39">
        <v>35</v>
      </c>
      <c r="F32" s="65">
        <f t="shared" si="6"/>
        <v>1</v>
      </c>
      <c r="G32" s="29"/>
      <c r="H32" s="18" t="s">
        <v>0</v>
      </c>
      <c r="I32" s="220">
        <f t="shared" si="5"/>
        <v>280</v>
      </c>
    </row>
    <row r="33" spans="2:15" ht="21.2" customHeight="1" x14ac:dyDescent="0.25">
      <c r="B33" s="5" t="s">
        <v>15</v>
      </c>
      <c r="C33" s="28" t="s">
        <v>174</v>
      </c>
      <c r="D33" s="34">
        <f>2*365/50</f>
        <v>14.6</v>
      </c>
      <c r="E33" s="39">
        <v>8.4</v>
      </c>
      <c r="F33" s="65">
        <f t="shared" si="6"/>
        <v>1</v>
      </c>
      <c r="G33" s="29" t="s">
        <v>51</v>
      </c>
      <c r="H33" s="18" t="s">
        <v>0</v>
      </c>
      <c r="I33" s="220">
        <f t="shared" si="5"/>
        <v>122.64</v>
      </c>
    </row>
    <row r="34" spans="2:15" ht="21.2" customHeight="1" x14ac:dyDescent="0.25">
      <c r="B34" s="5" t="s">
        <v>9</v>
      </c>
      <c r="C34" s="28"/>
      <c r="D34" s="34">
        <v>1</v>
      </c>
      <c r="E34" s="39">
        <v>80</v>
      </c>
      <c r="F34" s="65">
        <f t="shared" si="6"/>
        <v>1</v>
      </c>
      <c r="G34" s="29"/>
      <c r="H34" s="18" t="s">
        <v>0</v>
      </c>
      <c r="I34" s="220">
        <f t="shared" si="5"/>
        <v>80</v>
      </c>
    </row>
    <row r="35" spans="2:15" ht="21.2" customHeight="1" x14ac:dyDescent="0.25">
      <c r="B35" s="5" t="s">
        <v>163</v>
      </c>
      <c r="C35" s="28"/>
      <c r="D35" s="34">
        <v>1</v>
      </c>
      <c r="E35" s="39">
        <v>40</v>
      </c>
      <c r="F35" s="65">
        <f t="shared" si="6"/>
        <v>1</v>
      </c>
      <c r="G35" s="29"/>
      <c r="H35" s="18" t="s">
        <v>0</v>
      </c>
      <c r="I35" s="220">
        <f t="shared" si="5"/>
        <v>40</v>
      </c>
    </row>
    <row r="36" spans="2:15" ht="21.2" customHeight="1" x14ac:dyDescent="0.25">
      <c r="B36" s="5" t="s">
        <v>68</v>
      </c>
      <c r="C36" s="28"/>
      <c r="D36" s="34"/>
      <c r="E36" s="39"/>
      <c r="F36" s="65">
        <f t="shared" si="6"/>
        <v>1</v>
      </c>
      <c r="G36" s="29"/>
      <c r="H36" s="18" t="s">
        <v>0</v>
      </c>
      <c r="I36" s="220">
        <f t="shared" si="5"/>
        <v>0</v>
      </c>
      <c r="L36" s="2" t="s">
        <v>26</v>
      </c>
    </row>
    <row r="37" spans="2:15" ht="21.2" customHeight="1" x14ac:dyDescent="0.25">
      <c r="B37" s="5" t="s">
        <v>14</v>
      </c>
      <c r="C37" s="28"/>
      <c r="D37" s="34">
        <v>1</v>
      </c>
      <c r="E37" s="39">
        <v>5</v>
      </c>
      <c r="F37" s="65">
        <f t="shared" si="6"/>
        <v>1</v>
      </c>
      <c r="G37" s="29"/>
      <c r="H37" s="18" t="s">
        <v>0</v>
      </c>
      <c r="I37" s="220">
        <f t="shared" si="5"/>
        <v>5</v>
      </c>
    </row>
    <row r="38" spans="2:15" ht="21.2" customHeight="1" x14ac:dyDescent="0.25">
      <c r="B38" s="5" t="s">
        <v>33</v>
      </c>
      <c r="C38" s="28"/>
      <c r="D38" s="34"/>
      <c r="E38" s="39"/>
      <c r="F38" s="65">
        <f t="shared" si="6"/>
        <v>1</v>
      </c>
      <c r="G38" s="29"/>
      <c r="H38" s="18" t="s">
        <v>0</v>
      </c>
      <c r="I38" s="220">
        <f t="shared" si="5"/>
        <v>0</v>
      </c>
    </row>
    <row r="39" spans="2:15" ht="21.2" customHeight="1" x14ac:dyDescent="0.25">
      <c r="B39" s="7" t="s">
        <v>2</v>
      </c>
      <c r="C39" s="30" t="s">
        <v>36</v>
      </c>
      <c r="D39" s="34">
        <v>1</v>
      </c>
      <c r="E39" s="39">
        <v>11</v>
      </c>
      <c r="F39" s="65">
        <f t="shared" si="6"/>
        <v>1</v>
      </c>
      <c r="G39" s="31"/>
      <c r="H39" s="18" t="s">
        <v>0</v>
      </c>
      <c r="I39" s="220">
        <f t="shared" si="5"/>
        <v>11</v>
      </c>
      <c r="K39" s="11"/>
    </row>
    <row r="40" spans="2:15" ht="21.2" customHeight="1" x14ac:dyDescent="0.25">
      <c r="B40" s="193" t="s">
        <v>2</v>
      </c>
      <c r="C40" s="194" t="s">
        <v>195</v>
      </c>
      <c r="D40" s="34">
        <v>1</v>
      </c>
      <c r="E40" s="39">
        <v>100</v>
      </c>
      <c r="F40" s="65">
        <f t="shared" si="6"/>
        <v>1</v>
      </c>
      <c r="G40" s="31"/>
      <c r="H40" s="18" t="s">
        <v>0</v>
      </c>
      <c r="I40" s="220">
        <f t="shared" si="5"/>
        <v>100</v>
      </c>
      <c r="K40" s="11"/>
    </row>
    <row r="41" spans="2:15" ht="21.2" customHeight="1" x14ac:dyDescent="0.25">
      <c r="B41" s="186" t="s">
        <v>170</v>
      </c>
      <c r="C41" s="192"/>
      <c r="D41" s="191">
        <v>0.04</v>
      </c>
      <c r="E41" s="190">
        <f>(E17+E14)/2</f>
        <v>5657.6484018264837</v>
      </c>
      <c r="F41" s="189">
        <f t="shared" si="6"/>
        <v>1</v>
      </c>
      <c r="G41" s="31"/>
      <c r="H41" s="187" t="s">
        <v>0</v>
      </c>
      <c r="I41" s="224">
        <f>E41*D41*F41</f>
        <v>226.30593607305934</v>
      </c>
      <c r="K41" s="11"/>
    </row>
    <row r="42" spans="2:15" s="825" customFormat="1" ht="24.75" customHeight="1" thickBot="1" x14ac:dyDescent="0.35">
      <c r="B42" s="1030" t="s">
        <v>62</v>
      </c>
      <c r="C42" s="1031"/>
      <c r="D42" s="1031"/>
      <c r="E42" s="1031"/>
      <c r="F42" s="1031"/>
      <c r="G42" s="1032"/>
      <c r="H42" s="829" t="s">
        <v>0</v>
      </c>
      <c r="I42" s="830">
        <f>SUM(I17:I41)</f>
        <v>5180.4889360730594</v>
      </c>
    </row>
    <row r="43" spans="2:15" ht="28.5" customHeight="1" thickTop="1" x14ac:dyDescent="0.35">
      <c r="B43" s="73" t="s">
        <v>127</v>
      </c>
      <c r="C43" s="74"/>
      <c r="D43" s="70"/>
      <c r="E43" s="70"/>
      <c r="F43" s="70"/>
      <c r="G43" s="70"/>
      <c r="H43" s="71" t="s">
        <v>0</v>
      </c>
      <c r="I43" s="72">
        <f>I15-I42</f>
        <v>-1290.4889360730599</v>
      </c>
      <c r="J43" s="13"/>
      <c r="K43" s="225"/>
      <c r="L43" s="226"/>
    </row>
    <row r="44" spans="2:15" ht="39.6" customHeight="1" thickBot="1" x14ac:dyDescent="0.4">
      <c r="B44" s="1039" t="s">
        <v>452</v>
      </c>
      <c r="C44" s="1040"/>
      <c r="D44" s="1040"/>
      <c r="E44" s="838">
        <f>(I42-I11-I12-I14)/D10</f>
        <v>7343.555622961514</v>
      </c>
      <c r="F44" s="832" t="s">
        <v>451</v>
      </c>
      <c r="G44" s="2"/>
      <c r="H44" s="209"/>
      <c r="I44" s="828"/>
      <c r="J44" s="13"/>
      <c r="K44" s="225"/>
      <c r="L44" s="226"/>
    </row>
    <row r="45" spans="2:15" ht="23.25" customHeight="1" x14ac:dyDescent="0.25">
      <c r="B45" s="888" t="s">
        <v>56</v>
      </c>
      <c r="C45" s="889"/>
      <c r="D45" s="82">
        <v>150</v>
      </c>
      <c r="E45" s="76" t="s">
        <v>63</v>
      </c>
      <c r="F45" s="96">
        <v>18</v>
      </c>
      <c r="G45" s="93" t="s">
        <v>48</v>
      </c>
      <c r="H45" s="77" t="s">
        <v>0</v>
      </c>
      <c r="I45" s="78">
        <f>D45*F45</f>
        <v>2700</v>
      </c>
      <c r="J45" s="13"/>
      <c r="K45" s="225"/>
      <c r="L45" s="546" t="s">
        <v>279</v>
      </c>
      <c r="M45" s="857" t="s">
        <v>280</v>
      </c>
      <c r="N45" s="857"/>
      <c r="O45" s="547" t="s">
        <v>281</v>
      </c>
    </row>
    <row r="46" spans="2:15" ht="23.25" customHeight="1" x14ac:dyDescent="0.25">
      <c r="B46" s="890" t="s">
        <v>52</v>
      </c>
      <c r="C46" s="891"/>
      <c r="D46" s="488">
        <v>8400</v>
      </c>
      <c r="E46" s="79" t="s">
        <v>255</v>
      </c>
      <c r="F46" s="549">
        <f>SUM(L46:O46)*100</f>
        <v>6.0000000000000009</v>
      </c>
      <c r="G46" s="94" t="s">
        <v>254</v>
      </c>
      <c r="H46" s="80" t="s">
        <v>0</v>
      </c>
      <c r="I46" s="81">
        <f>D46*F46/100</f>
        <v>504.00000000000006</v>
      </c>
      <c r="J46" s="13"/>
      <c r="K46" s="225" t="s">
        <v>318</v>
      </c>
      <c r="L46" s="545">
        <v>0.03</v>
      </c>
      <c r="M46" s="855">
        <v>0.02</v>
      </c>
      <c r="N46" s="856"/>
      <c r="O46" s="545">
        <v>0.01</v>
      </c>
    </row>
    <row r="47" spans="2:15" ht="23.25" customHeight="1" x14ac:dyDescent="0.25">
      <c r="B47" s="890" t="s">
        <v>53</v>
      </c>
      <c r="C47" s="891"/>
      <c r="D47" s="488"/>
      <c r="E47" s="79" t="s">
        <v>255</v>
      </c>
      <c r="F47" s="549">
        <f>SUM(L47:O47)*100</f>
        <v>6.5</v>
      </c>
      <c r="G47" s="94" t="s">
        <v>254</v>
      </c>
      <c r="H47" s="80" t="s">
        <v>0</v>
      </c>
      <c r="I47" s="81">
        <f>D47*F47/100</f>
        <v>0</v>
      </c>
      <c r="J47" s="13"/>
      <c r="K47" s="225" t="s">
        <v>319</v>
      </c>
      <c r="L47" s="545">
        <v>2.5000000000000001E-2</v>
      </c>
      <c r="M47" s="855">
        <v>0.02</v>
      </c>
      <c r="N47" s="856"/>
      <c r="O47" s="545">
        <v>0.02</v>
      </c>
    </row>
    <row r="48" spans="2:15" ht="23.25" customHeight="1" x14ac:dyDescent="0.25">
      <c r="B48" s="890" t="s">
        <v>135</v>
      </c>
      <c r="C48" s="891"/>
      <c r="D48" s="488">
        <v>1200</v>
      </c>
      <c r="E48" s="79" t="s">
        <v>255</v>
      </c>
      <c r="F48" s="549">
        <f>SUM(L48:O48)*100</f>
        <v>10</v>
      </c>
      <c r="G48" s="94" t="s">
        <v>254</v>
      </c>
      <c r="H48" s="80" t="s">
        <v>0</v>
      </c>
      <c r="I48" s="81">
        <f>D48*F48/100</f>
        <v>120</v>
      </c>
      <c r="J48" s="13"/>
      <c r="K48" s="225" t="s">
        <v>320</v>
      </c>
      <c r="L48" s="545">
        <v>0.08</v>
      </c>
      <c r="M48" s="855">
        <v>0.02</v>
      </c>
      <c r="N48" s="856"/>
      <c r="O48" s="548"/>
    </row>
    <row r="49" spans="2:19" ht="23.25" customHeight="1" x14ac:dyDescent="0.25">
      <c r="B49" s="890" t="s">
        <v>391</v>
      </c>
      <c r="C49" s="891"/>
      <c r="D49" s="490">
        <v>0.5</v>
      </c>
      <c r="E49" s="79" t="s">
        <v>64</v>
      </c>
      <c r="F49" s="97">
        <v>200</v>
      </c>
      <c r="G49" s="94" t="s">
        <v>34</v>
      </c>
      <c r="H49" s="80" t="s">
        <v>0</v>
      </c>
      <c r="I49" s="81">
        <f>D49*F49</f>
        <v>100</v>
      </c>
      <c r="J49" s="13"/>
      <c r="K49" s="225"/>
      <c r="L49" s="226"/>
    </row>
    <row r="50" spans="2:19" ht="23.25" customHeight="1" x14ac:dyDescent="0.25">
      <c r="B50" s="898" t="s">
        <v>137</v>
      </c>
      <c r="C50" s="899"/>
      <c r="D50" s="488">
        <v>23000</v>
      </c>
      <c r="E50" s="79" t="s">
        <v>256</v>
      </c>
      <c r="F50" s="488">
        <v>275</v>
      </c>
      <c r="G50" s="95" t="s">
        <v>257</v>
      </c>
      <c r="H50" s="19" t="s">
        <v>0</v>
      </c>
      <c r="I50" s="75">
        <f>F50</f>
        <v>275</v>
      </c>
      <c r="J50" s="13"/>
      <c r="K50" s="225"/>
      <c r="L50" s="226"/>
    </row>
    <row r="51" spans="2:19" ht="23.25" customHeight="1" thickBot="1" x14ac:dyDescent="0.35">
      <c r="B51" s="892" t="s">
        <v>65</v>
      </c>
      <c r="C51" s="893"/>
      <c r="D51" s="893"/>
      <c r="E51" s="893"/>
      <c r="F51" s="893"/>
      <c r="G51" s="894"/>
      <c r="H51" s="770" t="s">
        <v>0</v>
      </c>
      <c r="I51" s="771">
        <f>SUM(I45:I50)</f>
        <v>3699</v>
      </c>
      <c r="J51" s="13"/>
      <c r="K51" s="225"/>
      <c r="L51" s="226"/>
    </row>
    <row r="52" spans="2:19" ht="23.25" customHeight="1" thickBot="1" x14ac:dyDescent="0.35">
      <c r="B52" s="764" t="s">
        <v>379</v>
      </c>
      <c r="C52" s="765"/>
      <c r="D52" s="765"/>
      <c r="E52" s="765"/>
      <c r="F52" s="765"/>
      <c r="G52" s="766"/>
      <c r="H52" s="767" t="s">
        <v>0</v>
      </c>
      <c r="I52" s="768">
        <f>I42+I51</f>
        <v>8879.4889360730594</v>
      </c>
      <c r="J52" s="13">
        <f>J42+J51</f>
        <v>0</v>
      </c>
      <c r="K52" s="225"/>
      <c r="L52" s="226"/>
    </row>
    <row r="53" spans="2:19" ht="25.5" customHeight="1" thickTop="1" x14ac:dyDescent="0.35">
      <c r="B53" s="239" t="s">
        <v>378</v>
      </c>
      <c r="C53" s="232"/>
      <c r="D53" s="232"/>
      <c r="E53" s="232"/>
      <c r="F53" s="232"/>
      <c r="G53" s="233"/>
      <c r="H53" s="240" t="s">
        <v>0</v>
      </c>
      <c r="I53" s="241">
        <f>I15-I52</f>
        <v>-4989.4889360730594</v>
      </c>
      <c r="J53" s="13">
        <f>J15-J52</f>
        <v>0</v>
      </c>
      <c r="K53" s="1028" t="s">
        <v>213</v>
      </c>
      <c r="L53" s="1029"/>
      <c r="M53" s="1029"/>
      <c r="N53" s="1029"/>
      <c r="O53" s="1029"/>
      <c r="P53" s="1029"/>
      <c r="Q53" s="1029"/>
      <c r="R53" s="1029"/>
      <c r="S53" s="1029"/>
    </row>
    <row r="54" spans="2:19" ht="25.5" customHeight="1" x14ac:dyDescent="0.35">
      <c r="B54" s="242" t="s">
        <v>191</v>
      </c>
      <c r="C54" s="243"/>
      <c r="D54" s="243"/>
      <c r="E54" s="243"/>
      <c r="F54" s="243"/>
      <c r="G54" s="244" t="s">
        <v>206</v>
      </c>
      <c r="H54" s="237" t="s">
        <v>0</v>
      </c>
      <c r="I54" s="238">
        <f>I53+I45</f>
        <v>-2289.4889360730594</v>
      </c>
      <c r="J54" s="13"/>
      <c r="K54" s="1029"/>
      <c r="L54" s="1029"/>
      <c r="M54" s="1029"/>
      <c r="N54" s="1029"/>
      <c r="O54" s="1029"/>
      <c r="P54" s="1029"/>
      <c r="Q54" s="1029"/>
      <c r="R54" s="1029"/>
      <c r="S54" s="1029"/>
    </row>
    <row r="55" spans="2:19" ht="25.5" customHeight="1" x14ac:dyDescent="0.35">
      <c r="B55" s="245"/>
      <c r="C55" s="246"/>
      <c r="D55" s="246"/>
      <c r="E55" s="246"/>
      <c r="F55" s="246"/>
      <c r="G55" s="246" t="s">
        <v>192</v>
      </c>
      <c r="H55" s="247" t="s">
        <v>0</v>
      </c>
      <c r="I55" s="248">
        <f>IF(D45=0,0,I54/D45)</f>
        <v>-15.263259573820397</v>
      </c>
      <c r="J55" s="13"/>
      <c r="K55" s="1029"/>
      <c r="L55" s="1029"/>
      <c r="M55" s="1029"/>
      <c r="N55" s="1029"/>
      <c r="O55" s="1029"/>
      <c r="P55" s="1029"/>
      <c r="Q55" s="1029"/>
      <c r="R55" s="1029"/>
      <c r="S55" s="1029"/>
    </row>
    <row r="56" spans="2:19" ht="45.75" customHeight="1" thickBot="1" x14ac:dyDescent="0.4">
      <c r="B56" s="880" t="s">
        <v>71</v>
      </c>
      <c r="C56" s="881"/>
      <c r="D56" s="881"/>
      <c r="E56" s="91" t="s">
        <v>49</v>
      </c>
      <c r="F56" s="231">
        <f>I56/M10</f>
        <v>11532.275193833086</v>
      </c>
      <c r="G56" s="89" t="s">
        <v>43</v>
      </c>
      <c r="H56" s="90" t="s">
        <v>0</v>
      </c>
      <c r="I56" s="227">
        <f>(I42+I51-I11-I12-I13-I14)/D10</f>
        <v>12627.841337247228</v>
      </c>
      <c r="J56" s="13"/>
      <c r="K56" s="225"/>
      <c r="L56" s="226"/>
    </row>
    <row r="57" spans="2:19" ht="39.200000000000003" customHeight="1" x14ac:dyDescent="0.25">
      <c r="B57" s="3"/>
      <c r="C57" s="3"/>
      <c r="D57" s="3"/>
      <c r="E57" s="3"/>
      <c r="F57" s="3"/>
      <c r="G57" s="12"/>
      <c r="H57" s="3"/>
      <c r="I57" s="177"/>
      <c r="J57" s="13"/>
    </row>
    <row r="59" spans="2:19" x14ac:dyDescent="0.25">
      <c r="F59" s="11"/>
      <c r="G59" s="2"/>
    </row>
  </sheetData>
  <sheetProtection sheet="1" objects="1" scenarios="1"/>
  <mergeCells count="29">
    <mergeCell ref="K53:S55"/>
    <mergeCell ref="B56:D56"/>
    <mergeCell ref="B46:C46"/>
    <mergeCell ref="B47:C47"/>
    <mergeCell ref="B48:C48"/>
    <mergeCell ref="B49:C49"/>
    <mergeCell ref="B50:C50"/>
    <mergeCell ref="B51:G51"/>
    <mergeCell ref="M46:N46"/>
    <mergeCell ref="M48:N48"/>
    <mergeCell ref="M47:N47"/>
    <mergeCell ref="B2:I2"/>
    <mergeCell ref="B3:C3"/>
    <mergeCell ref="D3:E3"/>
    <mergeCell ref="B4:C5"/>
    <mergeCell ref="D4:D5"/>
    <mergeCell ref="E4:E5"/>
    <mergeCell ref="F4:I4"/>
    <mergeCell ref="F5:I5"/>
    <mergeCell ref="M45:N45"/>
    <mergeCell ref="K3:N4"/>
    <mergeCell ref="B6:E6"/>
    <mergeCell ref="H6:I6"/>
    <mergeCell ref="H16:I16"/>
    <mergeCell ref="K16:M16"/>
    <mergeCell ref="B42:G42"/>
    <mergeCell ref="B45:C45"/>
    <mergeCell ref="B44:D44"/>
    <mergeCell ref="J10:K14"/>
  </mergeCells>
  <printOptions headings="1"/>
  <pageMargins left="0.70866141732283472" right="0.51181102362204722" top="0.59055118110236227" bottom="0.39370078740157483" header="0.31496062992125984" footer="0.31496062992125984"/>
  <pageSetup paperSize="9" scale="63" orientation="portrait" verticalDpi="1200" r:id="rId1"/>
  <headerFooter>
    <oddFooter>&amp;L&amp;F&amp;C&amp;A&amp;R&amp;D</oddFooter>
  </headerFooter>
  <rowBreaks count="1" manualBreakCount="1">
    <brk id="56"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61"/>
  <sheetViews>
    <sheetView showGridLines="0" showZeros="0" zoomScale="75" zoomScaleNormal="75" zoomScaleSheetLayoutView="75" workbookViewId="0">
      <selection activeCell="J67" sqref="J67"/>
    </sheetView>
  </sheetViews>
  <sheetFormatPr baseColWidth="10" defaultColWidth="11.28515625" defaultRowHeight="18" x14ac:dyDescent="0.25"/>
  <cols>
    <col min="1" max="1" width="1.85546875" style="2" customWidth="1"/>
    <col min="2" max="2" width="26" style="2" customWidth="1"/>
    <col min="3" max="3" width="24.28515625" style="2" customWidth="1"/>
    <col min="4" max="4" width="13.140625" style="2" customWidth="1"/>
    <col min="5" max="5" width="22.5703125" style="2" customWidth="1"/>
    <col min="6" max="6" width="12.85546875" style="2" customWidth="1"/>
    <col min="7" max="7" width="22.42578125" style="11" customWidth="1"/>
    <col min="8" max="8" width="5.28515625" style="2" customWidth="1"/>
    <col min="9" max="9" width="17.28515625" style="2" customWidth="1"/>
    <col min="10" max="10" width="4.85546875" style="2" customWidth="1"/>
    <col min="11" max="11" width="16.7109375" style="2" customWidth="1"/>
    <col min="12" max="12" width="13.28515625" style="2" customWidth="1"/>
    <col min="13" max="13" width="11.7109375" style="2" customWidth="1"/>
    <col min="14" max="14" width="11.28515625" style="2"/>
    <col min="15" max="15" width="19.140625" style="2" customWidth="1"/>
    <col min="16" max="16" width="15" style="2" customWidth="1"/>
    <col min="17" max="17" width="10.28515625" style="2" customWidth="1"/>
    <col min="18" max="18" width="3.7109375" style="2" customWidth="1"/>
    <col min="19" max="19" width="4.7109375" style="2" customWidth="1"/>
    <col min="20" max="16384" width="11.28515625" style="2"/>
  </cols>
  <sheetData>
    <row r="1" spans="2:19" ht="5.25" customHeight="1" thickBot="1" x14ac:dyDescent="0.3"/>
    <row r="2" spans="2:19" ht="36" customHeight="1" thickBot="1" x14ac:dyDescent="0.3">
      <c r="B2" s="866" t="s">
        <v>259</v>
      </c>
      <c r="C2" s="867"/>
      <c r="D2" s="867"/>
      <c r="E2" s="867"/>
      <c r="F2" s="867"/>
      <c r="G2" s="867"/>
      <c r="H2" s="867"/>
      <c r="I2" s="868"/>
      <c r="L2" s="201"/>
      <c r="M2" s="201" t="s">
        <v>272</v>
      </c>
      <c r="N2" s="530" t="s">
        <v>273</v>
      </c>
      <c r="O2" s="610" t="s">
        <v>269</v>
      </c>
    </row>
    <row r="3" spans="2:19" ht="42" customHeight="1" x14ac:dyDescent="0.25">
      <c r="B3" s="869" t="s">
        <v>59</v>
      </c>
      <c r="C3" s="870"/>
      <c r="D3" s="871" t="s">
        <v>178</v>
      </c>
      <c r="E3" s="872"/>
      <c r="F3" s="842" t="s">
        <v>177</v>
      </c>
      <c r="G3" s="234" t="s">
        <v>175</v>
      </c>
      <c r="H3" s="493"/>
      <c r="I3" s="235" t="s">
        <v>176</v>
      </c>
      <c r="J3" s="3"/>
      <c r="K3" s="609"/>
      <c r="M3" s="11"/>
      <c r="N3" s="11"/>
      <c r="O3" s="611"/>
    </row>
    <row r="4" spans="2:19" ht="22.7" customHeight="1" x14ac:dyDescent="0.25">
      <c r="B4" s="269" t="s">
        <v>215</v>
      </c>
      <c r="C4" s="535">
        <v>34</v>
      </c>
      <c r="D4" s="259"/>
      <c r="E4" s="260"/>
      <c r="F4" s="874" t="s">
        <v>4</v>
      </c>
      <c r="G4" s="874"/>
      <c r="H4" s="874"/>
      <c r="I4" s="875"/>
      <c r="L4" s="11" t="s">
        <v>263</v>
      </c>
      <c r="M4" s="201" t="s">
        <v>271</v>
      </c>
      <c r="N4" s="201" t="s">
        <v>268</v>
      </c>
      <c r="O4" s="781">
        <v>3</v>
      </c>
    </row>
    <row r="5" spans="2:19" ht="22.15" customHeight="1" x14ac:dyDescent="0.25">
      <c r="B5" s="258" t="s">
        <v>217</v>
      </c>
      <c r="C5" s="265">
        <f>C4/12</f>
        <v>2.8333333333333335</v>
      </c>
      <c r="D5" s="261"/>
      <c r="E5" s="262"/>
      <c r="F5" s="1051" t="s">
        <v>456</v>
      </c>
      <c r="G5" s="1051"/>
      <c r="H5" s="1051"/>
      <c r="I5" s="1052"/>
      <c r="L5" s="531" t="s">
        <v>264</v>
      </c>
      <c r="M5" s="531" t="s">
        <v>270</v>
      </c>
      <c r="N5" s="532">
        <v>12</v>
      </c>
      <c r="O5" s="782">
        <v>6</v>
      </c>
    </row>
    <row r="6" spans="2:19" ht="21.6" customHeight="1" x14ac:dyDescent="0.25">
      <c r="B6" s="258" t="s">
        <v>218</v>
      </c>
      <c r="C6" s="266">
        <f>C5*365</f>
        <v>1034.1666666666667</v>
      </c>
      <c r="D6" s="263"/>
      <c r="E6" s="250"/>
      <c r="F6" s="1053"/>
      <c r="G6" s="1053"/>
      <c r="H6" s="1053"/>
      <c r="I6" s="1054"/>
      <c r="L6" s="201" t="s">
        <v>265</v>
      </c>
      <c r="M6" s="201" t="s">
        <v>270</v>
      </c>
      <c r="N6" s="530">
        <v>24</v>
      </c>
      <c r="O6" s="781">
        <v>6</v>
      </c>
    </row>
    <row r="7" spans="2:19" ht="21.6" customHeight="1" x14ac:dyDescent="0.25">
      <c r="B7" s="258" t="s">
        <v>227</v>
      </c>
      <c r="C7" s="536">
        <v>18</v>
      </c>
      <c r="D7" s="907" t="s">
        <v>23</v>
      </c>
      <c r="E7" s="864" t="s">
        <v>453</v>
      </c>
      <c r="F7" s="1055"/>
      <c r="G7" s="1053"/>
      <c r="H7" s="1053"/>
      <c r="I7" s="1054"/>
      <c r="L7" s="11" t="s">
        <v>266</v>
      </c>
      <c r="M7" s="11" t="s">
        <v>270</v>
      </c>
      <c r="N7" s="529">
        <v>36</v>
      </c>
      <c r="O7" s="783">
        <v>3</v>
      </c>
    </row>
    <row r="8" spans="2:19" ht="19.899999999999999" customHeight="1" thickBot="1" x14ac:dyDescent="0.3">
      <c r="B8" s="271" t="s">
        <v>220</v>
      </c>
      <c r="C8" s="272">
        <f>C7*30.5</f>
        <v>549</v>
      </c>
      <c r="D8" s="907"/>
      <c r="E8" s="864"/>
      <c r="F8" s="860"/>
      <c r="G8" s="861"/>
      <c r="H8" s="861"/>
      <c r="I8" s="862"/>
      <c r="L8" s="533"/>
      <c r="M8" s="533" t="s">
        <v>267</v>
      </c>
      <c r="N8" s="613">
        <f>C4+6</f>
        <v>40</v>
      </c>
      <c r="O8" s="612"/>
    </row>
    <row r="9" spans="2:19" ht="24" customHeight="1" thickTop="1" thickBot="1" x14ac:dyDescent="0.3">
      <c r="B9" s="268" t="s">
        <v>219</v>
      </c>
      <c r="C9" s="270">
        <f>C6-C8</f>
        <v>485.16666666666674</v>
      </c>
      <c r="D9" s="1056"/>
      <c r="E9" s="865"/>
      <c r="F9" s="1049" t="s">
        <v>214</v>
      </c>
      <c r="G9" s="1050"/>
      <c r="H9" s="858" t="s">
        <v>160</v>
      </c>
      <c r="I9" s="859"/>
      <c r="K9" s="63"/>
      <c r="L9" s="201" t="s">
        <v>185</v>
      </c>
      <c r="M9" s="202" t="s">
        <v>182</v>
      </c>
      <c r="N9" s="219"/>
      <c r="O9" s="201" t="s">
        <v>187</v>
      </c>
    </row>
    <row r="10" spans="2:19" ht="21.2" customHeight="1" x14ac:dyDescent="0.25">
      <c r="B10" s="14" t="s">
        <v>3</v>
      </c>
      <c r="C10" s="32" t="s">
        <v>197</v>
      </c>
      <c r="D10" s="166">
        <v>1</v>
      </c>
      <c r="E10" s="426">
        <f>IF(H3="x",F10,F10/M10)</f>
        <v>10084.033613445379</v>
      </c>
      <c r="F10" s="425">
        <v>12000</v>
      </c>
      <c r="G10" s="198" t="s">
        <v>43</v>
      </c>
      <c r="H10" s="20" t="s">
        <v>0</v>
      </c>
      <c r="I10" s="218">
        <f>D10*E10</f>
        <v>10084.033613445379</v>
      </c>
      <c r="K10" s="60"/>
      <c r="L10" s="84">
        <v>0.19</v>
      </c>
      <c r="M10" s="62">
        <f>1+L10</f>
        <v>1.19</v>
      </c>
      <c r="O10" s="66" t="s">
        <v>186</v>
      </c>
    </row>
    <row r="11" spans="2:19" ht="21.2" customHeight="1" x14ac:dyDescent="0.25">
      <c r="B11" s="5" t="s">
        <v>5</v>
      </c>
      <c r="C11" s="419"/>
      <c r="D11" s="840"/>
      <c r="E11" s="839">
        <f>IF(H4="x",F11,F11/M11)</f>
        <v>0</v>
      </c>
      <c r="F11" s="418"/>
      <c r="G11" s="418"/>
      <c r="H11" s="423"/>
      <c r="I11" s="424">
        <f>D11*E11</f>
        <v>0</v>
      </c>
      <c r="K11" s="11"/>
      <c r="L11" s="84">
        <v>0.19</v>
      </c>
      <c r="M11" s="62">
        <f>1+L11</f>
        <v>1.19</v>
      </c>
      <c r="O11" s="11" t="s">
        <v>183</v>
      </c>
      <c r="P11" s="201"/>
    </row>
    <row r="12" spans="2:19" ht="21.2" customHeight="1" x14ac:dyDescent="0.25">
      <c r="B12" s="5" t="s">
        <v>5</v>
      </c>
      <c r="C12" s="419"/>
      <c r="D12" s="840"/>
      <c r="E12" s="839">
        <f>IF(H5="x",F12,F12/M12)</f>
        <v>0</v>
      </c>
      <c r="F12" s="418"/>
      <c r="G12" s="418"/>
      <c r="H12" s="423"/>
      <c r="I12" s="424">
        <f>D12*E12</f>
        <v>0</v>
      </c>
      <c r="K12" s="11"/>
      <c r="L12" s="84">
        <v>0.19</v>
      </c>
      <c r="M12" s="62">
        <f>1+L12</f>
        <v>1.19</v>
      </c>
    </row>
    <row r="13" spans="2:19" ht="21.2" hidden="1" customHeight="1" x14ac:dyDescent="0.25">
      <c r="B13" s="5" t="s">
        <v>5</v>
      </c>
      <c r="C13" s="28"/>
      <c r="D13" s="614"/>
      <c r="E13" s="426">
        <f>IF(H6="x",F13,F13/M13)</f>
        <v>0</v>
      </c>
      <c r="F13" s="425"/>
      <c r="G13" s="198" t="s">
        <v>43</v>
      </c>
      <c r="H13" s="18" t="s">
        <v>0</v>
      </c>
      <c r="I13" s="218">
        <f>D13*E13</f>
        <v>0</v>
      </c>
      <c r="K13" s="11"/>
      <c r="L13" s="84">
        <v>0.19</v>
      </c>
      <c r="M13" s="62">
        <f>1+L13</f>
        <v>1.19</v>
      </c>
      <c r="O13" s="66"/>
    </row>
    <row r="14" spans="2:19" ht="21.2" hidden="1" customHeight="1" x14ac:dyDescent="0.25">
      <c r="B14" s="5" t="s">
        <v>5</v>
      </c>
      <c r="C14" s="28"/>
      <c r="D14" s="614"/>
      <c r="E14" s="426">
        <f>IF(H7="x",F14,F14/M14)</f>
        <v>0</v>
      </c>
      <c r="F14" s="425"/>
      <c r="G14" s="198" t="s">
        <v>43</v>
      </c>
      <c r="H14" s="18" t="s">
        <v>0</v>
      </c>
      <c r="I14" s="218">
        <f>D14*E14</f>
        <v>0</v>
      </c>
      <c r="L14" s="84">
        <v>0.19</v>
      </c>
      <c r="M14" s="62">
        <f>1+L14</f>
        <v>1.19</v>
      </c>
      <c r="Q14" s="67"/>
      <c r="S14" s="67"/>
    </row>
    <row r="15" spans="2:19" ht="24.75" customHeight="1" thickBot="1" x14ac:dyDescent="0.35">
      <c r="B15" s="23" t="s">
        <v>57</v>
      </c>
      <c r="C15" s="24"/>
      <c r="D15" s="25"/>
      <c r="E15" s="25"/>
      <c r="F15" s="25"/>
      <c r="G15" s="26"/>
      <c r="H15" s="27" t="s">
        <v>0</v>
      </c>
      <c r="I15" s="59">
        <f>SUM(I10:I14)</f>
        <v>10084.033613445379</v>
      </c>
      <c r="K15" s="11"/>
    </row>
    <row r="16" spans="2:19" ht="39.75" customHeight="1" x14ac:dyDescent="0.25">
      <c r="B16" s="53" t="s">
        <v>162</v>
      </c>
      <c r="C16" s="54"/>
      <c r="D16" s="55" t="s">
        <v>126</v>
      </c>
      <c r="E16" s="55" t="s">
        <v>179</v>
      </c>
      <c r="F16" s="56"/>
      <c r="G16" s="57" t="s">
        <v>17</v>
      </c>
      <c r="H16" s="883" t="s">
        <v>161</v>
      </c>
      <c r="I16" s="884"/>
      <c r="K16" s="882"/>
      <c r="L16" s="882"/>
      <c r="M16" s="882"/>
      <c r="N16" s="882"/>
      <c r="O16" s="882"/>
      <c r="P16" s="882"/>
      <c r="Q16" s="882"/>
    </row>
    <row r="17" spans="2:15" ht="21.2" customHeight="1" x14ac:dyDescent="0.25">
      <c r="B17" s="14" t="s">
        <v>6</v>
      </c>
      <c r="C17" s="38" t="s">
        <v>198</v>
      </c>
      <c r="D17" s="85">
        <f>D10</f>
        <v>1</v>
      </c>
      <c r="E17" s="51">
        <v>4600</v>
      </c>
      <c r="F17" s="98"/>
      <c r="G17" s="550" t="s">
        <v>49</v>
      </c>
      <c r="H17" s="20" t="s">
        <v>0</v>
      </c>
      <c r="I17" s="220">
        <f>D17*E17</f>
        <v>4600</v>
      </c>
      <c r="K17" s="11" t="s">
        <v>31</v>
      </c>
    </row>
    <row r="18" spans="2:15" ht="21.2" customHeight="1" x14ac:dyDescent="0.25">
      <c r="B18" s="5"/>
      <c r="C18" s="6"/>
      <c r="D18" s="16" t="s">
        <v>37</v>
      </c>
      <c r="E18" s="17" t="s">
        <v>38</v>
      </c>
      <c r="F18" s="16" t="s">
        <v>39</v>
      </c>
      <c r="G18" s="69" t="s">
        <v>125</v>
      </c>
      <c r="H18" s="18" t="s">
        <v>0</v>
      </c>
      <c r="I18" s="221"/>
      <c r="K18" s="11" t="s">
        <v>32</v>
      </c>
    </row>
    <row r="19" spans="2:15" ht="21.2" customHeight="1" x14ac:dyDescent="0.25">
      <c r="B19" s="5" t="s">
        <v>18</v>
      </c>
      <c r="C19" s="173" t="s">
        <v>310</v>
      </c>
      <c r="D19" s="44">
        <v>1.5</v>
      </c>
      <c r="E19" s="35">
        <v>1</v>
      </c>
      <c r="F19" s="36">
        <v>180</v>
      </c>
      <c r="G19" s="102">
        <f t="shared" ref="G19:G27" si="0">D19*F19/100</f>
        <v>2.7</v>
      </c>
      <c r="H19" s="18" t="s">
        <v>0</v>
      </c>
      <c r="I19" s="220">
        <f t="shared" ref="I19:I24" si="1">D19*E19*F19</f>
        <v>270</v>
      </c>
    </row>
    <row r="20" spans="2:15" ht="21.2" customHeight="1" x14ac:dyDescent="0.25">
      <c r="B20" s="5" t="s">
        <v>19</v>
      </c>
      <c r="C20" s="173" t="s">
        <v>308</v>
      </c>
      <c r="D20" s="44">
        <v>0.5</v>
      </c>
      <c r="E20" s="35">
        <v>0.3</v>
      </c>
      <c r="F20" s="173">
        <f>C9</f>
        <v>485.16666666666674</v>
      </c>
      <c r="G20" s="102">
        <f t="shared" si="0"/>
        <v>2.4258333333333337</v>
      </c>
      <c r="H20" s="18" t="s">
        <v>0</v>
      </c>
      <c r="I20" s="220">
        <f t="shared" si="1"/>
        <v>72.775000000000006</v>
      </c>
      <c r="K20" s="11" t="s">
        <v>165</v>
      </c>
      <c r="L20" s="11"/>
    </row>
    <row r="21" spans="2:15" ht="21.2" customHeight="1" x14ac:dyDescent="0.25">
      <c r="B21" s="5" t="s">
        <v>20</v>
      </c>
      <c r="C21" s="173" t="s">
        <v>309</v>
      </c>
      <c r="D21" s="44">
        <v>2.5</v>
      </c>
      <c r="E21" s="35">
        <v>0.3</v>
      </c>
      <c r="F21" s="173">
        <f>C8</f>
        <v>549</v>
      </c>
      <c r="G21" s="103">
        <f t="shared" si="0"/>
        <v>13.725</v>
      </c>
      <c r="H21" s="18" t="s">
        <v>0</v>
      </c>
      <c r="I21" s="220">
        <f t="shared" si="1"/>
        <v>411.75</v>
      </c>
      <c r="K21" s="11" t="s">
        <v>60</v>
      </c>
      <c r="L21" s="11"/>
    </row>
    <row r="22" spans="2:15" ht="21.2" customHeight="1" x14ac:dyDescent="0.25">
      <c r="B22" s="5" t="s">
        <v>21</v>
      </c>
      <c r="C22" s="173" t="s">
        <v>50</v>
      </c>
      <c r="D22" s="44">
        <v>1</v>
      </c>
      <c r="E22" s="35">
        <v>0.18</v>
      </c>
      <c r="F22" s="173">
        <f>C9</f>
        <v>485.16666666666674</v>
      </c>
      <c r="G22" s="102">
        <f t="shared" si="0"/>
        <v>4.8516666666666675</v>
      </c>
      <c r="H22" s="18" t="s">
        <v>0</v>
      </c>
      <c r="I22" s="220">
        <f t="shared" si="1"/>
        <v>87.330000000000013</v>
      </c>
      <c r="K22" s="11"/>
      <c r="L22" s="11"/>
    </row>
    <row r="23" spans="2:15" ht="21.2" customHeight="1" x14ac:dyDescent="0.25">
      <c r="B23" s="5" t="s">
        <v>22</v>
      </c>
      <c r="C23" s="173" t="s">
        <v>61</v>
      </c>
      <c r="D23" s="44">
        <v>6</v>
      </c>
      <c r="E23" s="35">
        <v>0.18</v>
      </c>
      <c r="F23" s="173">
        <f>C8</f>
        <v>549</v>
      </c>
      <c r="G23" s="102">
        <f t="shared" si="0"/>
        <v>32.94</v>
      </c>
      <c r="H23" s="18" t="s">
        <v>0</v>
      </c>
      <c r="I23" s="220">
        <f t="shared" si="1"/>
        <v>592.92000000000007</v>
      </c>
      <c r="K23" s="11"/>
      <c r="L23" s="11"/>
    </row>
    <row r="24" spans="2:15" ht="21.2" customHeight="1" x14ac:dyDescent="0.25">
      <c r="B24" s="5" t="s">
        <v>35</v>
      </c>
      <c r="C24" s="173" t="s">
        <v>294</v>
      </c>
      <c r="D24" s="44">
        <v>30</v>
      </c>
      <c r="E24" s="35">
        <v>0.04</v>
      </c>
      <c r="F24" s="173">
        <f>C9</f>
        <v>485.16666666666674</v>
      </c>
      <c r="G24" s="102">
        <f t="shared" si="0"/>
        <v>145.55000000000001</v>
      </c>
      <c r="H24" s="18" t="s">
        <v>0</v>
      </c>
      <c r="I24" s="220">
        <f t="shared" si="1"/>
        <v>582.20000000000005</v>
      </c>
      <c r="K24" s="11"/>
      <c r="L24" s="11"/>
      <c r="N24" s="11"/>
    </row>
    <row r="25" spans="2:15" ht="21.2" customHeight="1" x14ac:dyDescent="0.25">
      <c r="B25" s="451" t="s">
        <v>293</v>
      </c>
      <c r="C25" s="580" t="s">
        <v>41</v>
      </c>
      <c r="D25" s="453">
        <v>0.08</v>
      </c>
      <c r="E25" s="454">
        <v>1.5</v>
      </c>
      <c r="F25" s="580">
        <f>C6</f>
        <v>1034.1666666666667</v>
      </c>
      <c r="G25" s="552">
        <f>D25*F25/100</f>
        <v>0.82733333333333337</v>
      </c>
      <c r="H25" s="457" t="s">
        <v>0</v>
      </c>
      <c r="I25" s="458">
        <f>D25*E25*F25</f>
        <v>124.10000000000001</v>
      </c>
      <c r="K25" s="11"/>
      <c r="L25" s="2" t="s">
        <v>228</v>
      </c>
      <c r="M25" s="276"/>
      <c r="N25" s="628">
        <f>SUM(I19:I25)</f>
        <v>2141.0750000000003</v>
      </c>
      <c r="O25" s="623">
        <f>SUM(J20:J25)</f>
        <v>0</v>
      </c>
    </row>
    <row r="26" spans="2:15" ht="21.2" customHeight="1" x14ac:dyDescent="0.25">
      <c r="B26" s="14" t="s">
        <v>11</v>
      </c>
      <c r="C26" s="205" t="s">
        <v>201</v>
      </c>
      <c r="D26" s="99">
        <v>3</v>
      </c>
      <c r="E26" s="100">
        <v>0.1</v>
      </c>
      <c r="F26" s="205">
        <f>C9</f>
        <v>485.16666666666674</v>
      </c>
      <c r="G26" s="551">
        <f t="shared" si="0"/>
        <v>14.555000000000001</v>
      </c>
      <c r="H26" s="19" t="s">
        <v>0</v>
      </c>
      <c r="I26" s="218">
        <f>D26*E26*F26</f>
        <v>145.55000000000004</v>
      </c>
      <c r="N26" s="626"/>
      <c r="O26" s="624"/>
    </row>
    <row r="27" spans="2:15" ht="21.2" customHeight="1" x14ac:dyDescent="0.25">
      <c r="B27" s="5" t="s">
        <v>11</v>
      </c>
      <c r="C27" s="173" t="s">
        <v>202</v>
      </c>
      <c r="D27" s="99">
        <v>6</v>
      </c>
      <c r="E27" s="35">
        <v>0.1</v>
      </c>
      <c r="F27" s="173">
        <f>C8</f>
        <v>549</v>
      </c>
      <c r="G27" s="102">
        <f t="shared" si="0"/>
        <v>32.94</v>
      </c>
      <c r="H27" s="19" t="s">
        <v>0</v>
      </c>
      <c r="I27" s="220">
        <f>D27*E27*F27</f>
        <v>329.40000000000003</v>
      </c>
      <c r="K27" s="11"/>
      <c r="L27" s="2" t="s">
        <v>315</v>
      </c>
      <c r="N27" s="626">
        <f>SUM(I26:I27)</f>
        <v>474.95000000000005</v>
      </c>
      <c r="O27" s="626">
        <f>SUM(J26:J27)</f>
        <v>0</v>
      </c>
    </row>
    <row r="28" spans="2:15" ht="21.2" customHeight="1" x14ac:dyDescent="0.25">
      <c r="B28" s="14" t="s">
        <v>10</v>
      </c>
      <c r="C28" s="620" t="s">
        <v>27</v>
      </c>
      <c r="D28" s="38">
        <v>40</v>
      </c>
      <c r="E28" s="40">
        <v>2</v>
      </c>
      <c r="F28" s="173">
        <f>C6</f>
        <v>1034.1666666666667</v>
      </c>
      <c r="G28" s="101">
        <f>D28*F28/1000</f>
        <v>41.366666666666674</v>
      </c>
      <c r="H28" s="20" t="s">
        <v>0</v>
      </c>
      <c r="I28" s="218">
        <f>D28*E28*F28/1000</f>
        <v>82.733333333333348</v>
      </c>
    </row>
    <row r="29" spans="2:15" ht="21.2" customHeight="1" x14ac:dyDescent="0.25">
      <c r="B29" s="5" t="s">
        <v>1</v>
      </c>
      <c r="C29" s="6"/>
      <c r="D29" s="105"/>
      <c r="E29" s="45"/>
      <c r="F29" s="47"/>
      <c r="G29" s="144"/>
      <c r="H29" s="145" t="s">
        <v>0</v>
      </c>
      <c r="I29" s="223"/>
    </row>
    <row r="30" spans="2:15" ht="21.2" customHeight="1" x14ac:dyDescent="0.25">
      <c r="B30" s="46"/>
      <c r="C30" s="47"/>
      <c r="D30" s="22" t="s">
        <v>23</v>
      </c>
      <c r="E30" s="22" t="s">
        <v>450</v>
      </c>
      <c r="F30" s="22" t="s">
        <v>24</v>
      </c>
      <c r="G30" s="48"/>
      <c r="H30" s="49"/>
      <c r="I30" s="223"/>
    </row>
    <row r="31" spans="2:15" ht="21.2" customHeight="1" x14ac:dyDescent="0.25">
      <c r="B31" s="5" t="s">
        <v>12</v>
      </c>
      <c r="C31" s="6" t="s">
        <v>16</v>
      </c>
      <c r="D31" s="36">
        <v>100</v>
      </c>
      <c r="E31" s="35">
        <v>0.3</v>
      </c>
      <c r="F31" s="65">
        <f>$C$5</f>
        <v>2.8333333333333335</v>
      </c>
      <c r="G31" s="29"/>
      <c r="H31" s="18" t="s">
        <v>0</v>
      </c>
      <c r="I31" s="220">
        <f t="shared" ref="I31:I42" si="2">D31*E31*F31</f>
        <v>85</v>
      </c>
    </row>
    <row r="32" spans="2:15" ht="21.2" customHeight="1" x14ac:dyDescent="0.25">
      <c r="B32" s="5" t="s">
        <v>8</v>
      </c>
      <c r="C32" s="6"/>
      <c r="D32" s="36">
        <v>1</v>
      </c>
      <c r="E32" s="39">
        <v>300</v>
      </c>
      <c r="F32" s="65">
        <f t="shared" ref="F32:F38" si="3">$C$5</f>
        <v>2.8333333333333335</v>
      </c>
      <c r="G32" s="29"/>
      <c r="H32" s="18" t="s">
        <v>0</v>
      </c>
      <c r="I32" s="220">
        <f t="shared" si="2"/>
        <v>850</v>
      </c>
    </row>
    <row r="33" spans="2:20" ht="21.2" customHeight="1" x14ac:dyDescent="0.25">
      <c r="B33" s="5" t="s">
        <v>7</v>
      </c>
      <c r="C33" s="28" t="s">
        <v>203</v>
      </c>
      <c r="D33" s="34">
        <v>4</v>
      </c>
      <c r="E33" s="39">
        <v>30</v>
      </c>
      <c r="F33" s="65">
        <f t="shared" si="3"/>
        <v>2.8333333333333335</v>
      </c>
      <c r="G33" s="29"/>
      <c r="H33" s="18" t="s">
        <v>0</v>
      </c>
      <c r="I33" s="220">
        <f t="shared" si="2"/>
        <v>340</v>
      </c>
    </row>
    <row r="34" spans="2:20" ht="21.2" customHeight="1" x14ac:dyDescent="0.25">
      <c r="B34" s="5" t="s">
        <v>15</v>
      </c>
      <c r="C34" s="28" t="s">
        <v>174</v>
      </c>
      <c r="D34" s="34">
        <v>5</v>
      </c>
      <c r="E34" s="39">
        <v>7</v>
      </c>
      <c r="F34" s="65">
        <f t="shared" si="3"/>
        <v>2.8333333333333335</v>
      </c>
      <c r="G34" s="29"/>
      <c r="H34" s="18" t="s">
        <v>0</v>
      </c>
      <c r="I34" s="220">
        <f t="shared" si="2"/>
        <v>99.166666666666671</v>
      </c>
    </row>
    <row r="35" spans="2:20" ht="21.2" customHeight="1" x14ac:dyDescent="0.25">
      <c r="B35" s="5" t="s">
        <v>9</v>
      </c>
      <c r="C35" s="28"/>
      <c r="D35" s="34">
        <v>1</v>
      </c>
      <c r="E35" s="39">
        <v>50</v>
      </c>
      <c r="F35" s="65">
        <f t="shared" si="3"/>
        <v>2.8333333333333335</v>
      </c>
      <c r="G35" s="29"/>
      <c r="H35" s="18" t="s">
        <v>0</v>
      </c>
      <c r="I35" s="220">
        <f t="shared" si="2"/>
        <v>141.66666666666669</v>
      </c>
    </row>
    <row r="36" spans="2:20" ht="21.2" customHeight="1" x14ac:dyDescent="0.25">
      <c r="B36" s="5" t="s">
        <v>163</v>
      </c>
      <c r="C36" s="28"/>
      <c r="D36" s="34"/>
      <c r="E36" s="39"/>
      <c r="F36" s="65">
        <f t="shared" si="3"/>
        <v>2.8333333333333335</v>
      </c>
      <c r="G36" s="29"/>
      <c r="H36" s="18" t="s">
        <v>0</v>
      </c>
      <c r="I36" s="220">
        <f t="shared" si="2"/>
        <v>0</v>
      </c>
    </row>
    <row r="37" spans="2:20" ht="21.2" customHeight="1" x14ac:dyDescent="0.25">
      <c r="B37" s="5" t="s">
        <v>68</v>
      </c>
      <c r="C37" s="28" t="s">
        <v>303</v>
      </c>
      <c r="D37" s="34">
        <v>1</v>
      </c>
      <c r="E37" s="39">
        <v>25</v>
      </c>
      <c r="F37" s="65">
        <f t="shared" si="3"/>
        <v>2.8333333333333335</v>
      </c>
      <c r="G37" s="29"/>
      <c r="H37" s="18" t="s">
        <v>0</v>
      </c>
      <c r="I37" s="220">
        <f t="shared" si="2"/>
        <v>70.833333333333343</v>
      </c>
      <c r="L37" s="2" t="s">
        <v>26</v>
      </c>
    </row>
    <row r="38" spans="2:20" ht="21.2" customHeight="1" x14ac:dyDescent="0.25">
      <c r="B38" s="5" t="s">
        <v>14</v>
      </c>
      <c r="C38" s="28"/>
      <c r="D38" s="34">
        <v>1</v>
      </c>
      <c r="E38" s="39">
        <v>5</v>
      </c>
      <c r="F38" s="65">
        <f t="shared" si="3"/>
        <v>2.8333333333333335</v>
      </c>
      <c r="G38" s="29"/>
      <c r="H38" s="18" t="s">
        <v>0</v>
      </c>
      <c r="I38" s="220">
        <f t="shared" si="2"/>
        <v>14.166666666666668</v>
      </c>
    </row>
    <row r="39" spans="2:20" ht="21.2" customHeight="1" x14ac:dyDescent="0.25">
      <c r="B39" s="5" t="s">
        <v>33</v>
      </c>
      <c r="C39" s="28" t="s">
        <v>205</v>
      </c>
      <c r="D39" s="34">
        <v>3</v>
      </c>
      <c r="E39" s="39">
        <v>300</v>
      </c>
      <c r="F39" s="229">
        <v>1</v>
      </c>
      <c r="G39" s="29"/>
      <c r="H39" s="18" t="s">
        <v>0</v>
      </c>
      <c r="I39" s="220">
        <f t="shared" si="2"/>
        <v>900</v>
      </c>
    </row>
    <row r="40" spans="2:20" ht="21.2" customHeight="1" x14ac:dyDescent="0.25">
      <c r="B40" s="7" t="s">
        <v>2</v>
      </c>
      <c r="C40" s="30" t="s">
        <v>36</v>
      </c>
      <c r="D40" s="34">
        <v>1</v>
      </c>
      <c r="E40" s="39">
        <v>10</v>
      </c>
      <c r="F40" s="229">
        <f>F31</f>
        <v>2.8333333333333335</v>
      </c>
      <c r="G40" s="31"/>
      <c r="H40" s="18" t="s">
        <v>0</v>
      </c>
      <c r="I40" s="220">
        <f t="shared" si="2"/>
        <v>28.333333333333336</v>
      </c>
      <c r="K40" s="11"/>
    </row>
    <row r="41" spans="2:20" ht="21.2" customHeight="1" x14ac:dyDescent="0.25">
      <c r="B41" s="7" t="s">
        <v>2</v>
      </c>
      <c r="C41" s="30" t="s">
        <v>382</v>
      </c>
      <c r="D41" s="777"/>
      <c r="E41" s="778">
        <f>I10</f>
        <v>10084.033613445379</v>
      </c>
      <c r="F41" s="229">
        <v>1</v>
      </c>
      <c r="G41" s="31" t="s">
        <v>418</v>
      </c>
      <c r="H41" s="18"/>
      <c r="I41" s="220">
        <f>D41*E41*F41</f>
        <v>0</v>
      </c>
      <c r="K41" s="11"/>
    </row>
    <row r="42" spans="2:20" ht="21.2" customHeight="1" x14ac:dyDescent="0.25">
      <c r="B42" s="193" t="s">
        <v>2</v>
      </c>
      <c r="C42" s="194" t="s">
        <v>204</v>
      </c>
      <c r="D42" s="34">
        <f>1/F42</f>
        <v>1</v>
      </c>
      <c r="E42" s="39">
        <v>150</v>
      </c>
      <c r="F42" s="229">
        <v>1</v>
      </c>
      <c r="G42" s="31"/>
      <c r="H42" s="18" t="s">
        <v>0</v>
      </c>
      <c r="I42" s="220">
        <f t="shared" si="2"/>
        <v>150</v>
      </c>
      <c r="K42" s="11"/>
    </row>
    <row r="43" spans="2:20" ht="21.2" customHeight="1" x14ac:dyDescent="0.25">
      <c r="B43" s="186" t="s">
        <v>170</v>
      </c>
      <c r="C43" s="192"/>
      <c r="D43" s="191">
        <v>0.04</v>
      </c>
      <c r="E43" s="190">
        <f>E17</f>
        <v>4600</v>
      </c>
      <c r="F43" s="189">
        <f>$F$31</f>
        <v>2.8333333333333335</v>
      </c>
      <c r="G43" s="31"/>
      <c r="H43" s="187" t="s">
        <v>0</v>
      </c>
      <c r="I43" s="224">
        <f>E43*D43*F43</f>
        <v>521.33333333333337</v>
      </c>
      <c r="K43" s="11"/>
    </row>
    <row r="44" spans="2:20" s="825" customFormat="1" ht="24.75" customHeight="1" x14ac:dyDescent="0.3">
      <c r="B44" s="1046" t="s">
        <v>62</v>
      </c>
      <c r="C44" s="1047"/>
      <c r="D44" s="1047"/>
      <c r="E44" s="1047"/>
      <c r="F44" s="1047"/>
      <c r="G44" s="1048"/>
      <c r="H44" s="823" t="s">
        <v>0</v>
      </c>
      <c r="I44" s="824">
        <f>SUM(I17:I43)</f>
        <v>10499.258333333333</v>
      </c>
      <c r="K44" s="826"/>
      <c r="T44" s="827"/>
    </row>
    <row r="45" spans="2:20" ht="24.75" customHeight="1" thickBot="1" x14ac:dyDescent="0.35">
      <c r="B45" s="822" t="s">
        <v>457</v>
      </c>
      <c r="C45" s="819"/>
      <c r="D45" s="819"/>
      <c r="E45" s="819"/>
      <c r="F45" s="819"/>
      <c r="G45" s="819">
        <f>I44*M10</f>
        <v>12494.117416666666</v>
      </c>
      <c r="H45" s="820"/>
      <c r="I45" s="821"/>
      <c r="K45" s="225"/>
      <c r="T45" s="818"/>
    </row>
    <row r="46" spans="2:20" ht="28.5" customHeight="1" thickTop="1" thickBot="1" x14ac:dyDescent="0.4">
      <c r="B46" s="73" t="s">
        <v>127</v>
      </c>
      <c r="C46" s="74"/>
      <c r="D46" s="70"/>
      <c r="E46" s="70"/>
      <c r="F46" s="70"/>
      <c r="G46" s="70"/>
      <c r="H46" s="71" t="s">
        <v>0</v>
      </c>
      <c r="I46" s="416">
        <f>I15-I44</f>
        <v>-415.22471988795405</v>
      </c>
      <c r="J46" s="13"/>
      <c r="L46" s="226"/>
    </row>
    <row r="47" spans="2:20" ht="23.25" customHeight="1" x14ac:dyDescent="0.25">
      <c r="B47" s="888" t="s">
        <v>56</v>
      </c>
      <c r="C47" s="889"/>
      <c r="D47" s="82">
        <v>50</v>
      </c>
      <c r="E47" s="76" t="s">
        <v>229</v>
      </c>
      <c r="F47" s="96">
        <v>18</v>
      </c>
      <c r="G47" s="93" t="s">
        <v>48</v>
      </c>
      <c r="H47" s="77" t="s">
        <v>0</v>
      </c>
      <c r="I47" s="415">
        <f>D47*$C$5*F47</f>
        <v>2550.0000000000005</v>
      </c>
      <c r="J47" s="13"/>
      <c r="L47" s="546" t="s">
        <v>279</v>
      </c>
      <c r="M47" s="857" t="s">
        <v>280</v>
      </c>
      <c r="N47" s="857"/>
      <c r="O47" s="547" t="s">
        <v>281</v>
      </c>
    </row>
    <row r="48" spans="2:20" ht="23.25" customHeight="1" x14ac:dyDescent="0.25">
      <c r="B48" s="890" t="s">
        <v>52</v>
      </c>
      <c r="C48" s="891"/>
      <c r="D48" s="488">
        <v>4000</v>
      </c>
      <c r="E48" s="79" t="s">
        <v>258</v>
      </c>
      <c r="F48" s="549">
        <f>SUM(L48:O48)*100</f>
        <v>6.0000000000000009</v>
      </c>
      <c r="G48" s="94" t="s">
        <v>254</v>
      </c>
      <c r="H48" s="80" t="s">
        <v>0</v>
      </c>
      <c r="I48" s="81">
        <f>D48*$C$5*F48/100</f>
        <v>680.00000000000011</v>
      </c>
      <c r="J48" s="13"/>
      <c r="K48" s="225" t="s">
        <v>318</v>
      </c>
      <c r="L48" s="577">
        <v>0.03</v>
      </c>
      <c r="M48" s="925">
        <v>0.02</v>
      </c>
      <c r="N48" s="926"/>
      <c r="O48" s="577">
        <v>0.01</v>
      </c>
    </row>
    <row r="49" spans="2:19" ht="23.25" customHeight="1" x14ac:dyDescent="0.25">
      <c r="B49" s="890" t="s">
        <v>53</v>
      </c>
      <c r="C49" s="891"/>
      <c r="D49" s="488"/>
      <c r="E49" s="79" t="s">
        <v>258</v>
      </c>
      <c r="F49" s="549">
        <f>SUM(L49:O49)*100</f>
        <v>6.5</v>
      </c>
      <c r="G49" s="94" t="s">
        <v>254</v>
      </c>
      <c r="H49" s="80" t="s">
        <v>0</v>
      </c>
      <c r="I49" s="81">
        <f>D49*$C$5*F49/100</f>
        <v>0</v>
      </c>
      <c r="J49" s="13"/>
      <c r="K49" s="225" t="s">
        <v>319</v>
      </c>
      <c r="L49" s="577">
        <v>2.5000000000000001E-2</v>
      </c>
      <c r="M49" s="925">
        <v>0.02</v>
      </c>
      <c r="N49" s="926"/>
      <c r="O49" s="577">
        <v>0.02</v>
      </c>
    </row>
    <row r="50" spans="2:19" ht="23.25" customHeight="1" x14ac:dyDescent="0.25">
      <c r="B50" s="890" t="s">
        <v>135</v>
      </c>
      <c r="C50" s="891"/>
      <c r="D50" s="488">
        <v>500</v>
      </c>
      <c r="E50" s="79" t="s">
        <v>258</v>
      </c>
      <c r="F50" s="549">
        <f>SUM(L50:O50)*100</f>
        <v>10</v>
      </c>
      <c r="G50" s="94" t="s">
        <v>254</v>
      </c>
      <c r="H50" s="80" t="s">
        <v>0</v>
      </c>
      <c r="I50" s="81">
        <f>D50*$C$5*F50/100</f>
        <v>141.66666666666669</v>
      </c>
      <c r="J50" s="13"/>
      <c r="K50" s="225" t="s">
        <v>320</v>
      </c>
      <c r="L50" s="577">
        <v>0.08</v>
      </c>
      <c r="M50" s="925">
        <v>0.02</v>
      </c>
      <c r="N50" s="926"/>
      <c r="O50" s="578"/>
    </row>
    <row r="51" spans="2:19" ht="23.25" customHeight="1" x14ac:dyDescent="0.25">
      <c r="B51" s="890" t="s">
        <v>391</v>
      </c>
      <c r="C51" s="891"/>
      <c r="D51" s="83">
        <v>0.6</v>
      </c>
      <c r="E51" s="79" t="s">
        <v>230</v>
      </c>
      <c r="F51" s="97">
        <v>200</v>
      </c>
      <c r="G51" s="94" t="s">
        <v>34</v>
      </c>
      <c r="H51" s="80" t="s">
        <v>0</v>
      </c>
      <c r="I51" s="81">
        <f>D51*$C$5*F51</f>
        <v>340</v>
      </c>
      <c r="J51" s="13"/>
      <c r="K51" s="225"/>
      <c r="L51" s="226"/>
    </row>
    <row r="52" spans="2:19" ht="23.25" customHeight="1" x14ac:dyDescent="0.25">
      <c r="B52" s="898" t="s">
        <v>137</v>
      </c>
      <c r="C52" s="899"/>
      <c r="D52" s="488">
        <v>20000</v>
      </c>
      <c r="E52" s="79" t="s">
        <v>256</v>
      </c>
      <c r="F52" s="92">
        <v>200</v>
      </c>
      <c r="G52" s="95" t="s">
        <v>231</v>
      </c>
      <c r="H52" s="19" t="s">
        <v>0</v>
      </c>
      <c r="I52" s="81">
        <f>F52*C5</f>
        <v>566.66666666666674</v>
      </c>
      <c r="J52" s="13"/>
      <c r="K52" s="225"/>
      <c r="L52" s="226"/>
    </row>
    <row r="53" spans="2:19" ht="23.25" customHeight="1" thickBot="1" x14ac:dyDescent="0.35">
      <c r="B53" s="892" t="s">
        <v>65</v>
      </c>
      <c r="C53" s="893"/>
      <c r="D53" s="893"/>
      <c r="E53" s="893"/>
      <c r="F53" s="893"/>
      <c r="G53" s="894"/>
      <c r="H53" s="770" t="s">
        <v>0</v>
      </c>
      <c r="I53" s="771">
        <f>SUM(I47:I52)</f>
        <v>4278.3333333333339</v>
      </c>
      <c r="J53" s="13"/>
      <c r="K53" s="225"/>
      <c r="L53" s="226"/>
    </row>
    <row r="54" spans="2:19" ht="23.25" customHeight="1" thickBot="1" x14ac:dyDescent="0.35">
      <c r="B54" s="764" t="s">
        <v>379</v>
      </c>
      <c r="C54" s="765"/>
      <c r="D54" s="765"/>
      <c r="E54" s="765"/>
      <c r="F54" s="765"/>
      <c r="G54" s="766"/>
      <c r="H54" s="767" t="s">
        <v>0</v>
      </c>
      <c r="I54" s="768">
        <f>I44+I53</f>
        <v>14777.591666666667</v>
      </c>
      <c r="J54" s="13"/>
      <c r="K54" s="225"/>
      <c r="L54" s="226"/>
    </row>
    <row r="55" spans="2:19" ht="25.5" customHeight="1" thickTop="1" x14ac:dyDescent="0.35">
      <c r="B55" s="761" t="s">
        <v>378</v>
      </c>
      <c r="C55" s="232"/>
      <c r="D55" s="232"/>
      <c r="E55" s="232"/>
      <c r="F55" s="232"/>
      <c r="G55" s="233"/>
      <c r="H55" s="240" t="s">
        <v>0</v>
      </c>
      <c r="I55" s="241">
        <f>I15-I54</f>
        <v>-4693.558053221288</v>
      </c>
      <c r="J55" s="13"/>
      <c r="K55" s="1028" t="s">
        <v>213</v>
      </c>
      <c r="L55" s="1029"/>
      <c r="M55" s="1029"/>
      <c r="N55" s="1029"/>
      <c r="O55" s="1029"/>
      <c r="P55" s="1029"/>
      <c r="Q55" s="1029"/>
      <c r="R55" s="1029"/>
      <c r="S55" s="1029"/>
    </row>
    <row r="56" spans="2:19" ht="25.5" customHeight="1" x14ac:dyDescent="0.35">
      <c r="B56" s="242" t="s">
        <v>191</v>
      </c>
      <c r="C56" s="243"/>
      <c r="D56" s="243"/>
      <c r="E56" s="243"/>
      <c r="F56" s="243"/>
      <c r="G56" s="244" t="s">
        <v>206</v>
      </c>
      <c r="H56" s="237" t="s">
        <v>0</v>
      </c>
      <c r="I56" s="238">
        <f>I55+I47</f>
        <v>-2143.5580532212875</v>
      </c>
      <c r="J56" s="13"/>
      <c r="K56" s="1029"/>
      <c r="L56" s="1029"/>
      <c r="M56" s="1029"/>
      <c r="N56" s="1029"/>
      <c r="O56" s="1029"/>
      <c r="P56" s="1029"/>
      <c r="Q56" s="1029"/>
      <c r="R56" s="1029"/>
      <c r="S56" s="1029"/>
    </row>
    <row r="57" spans="2:19" ht="25.5" customHeight="1" x14ac:dyDescent="0.35">
      <c r="B57" s="245"/>
      <c r="C57" s="246"/>
      <c r="D57" s="246"/>
      <c r="E57" s="246"/>
      <c r="F57" s="246"/>
      <c r="G57" s="246" t="s">
        <v>192</v>
      </c>
      <c r="H57" s="247" t="s">
        <v>0</v>
      </c>
      <c r="I57" s="248">
        <f>IF(D47=0,0,I56/C5/D47)</f>
        <v>-15.130998022738499</v>
      </c>
      <c r="J57" s="13"/>
      <c r="K57" s="1029"/>
      <c r="L57" s="1029"/>
      <c r="M57" s="1029"/>
      <c r="N57" s="1029"/>
      <c r="O57" s="1029"/>
      <c r="P57" s="1029"/>
      <c r="Q57" s="1029"/>
      <c r="R57" s="1029"/>
      <c r="S57" s="1029"/>
    </row>
    <row r="58" spans="2:19" ht="45.75" customHeight="1" thickBot="1" x14ac:dyDescent="0.4">
      <c r="B58" s="880" t="s">
        <v>71</v>
      </c>
      <c r="C58" s="881"/>
      <c r="D58" s="881"/>
      <c r="E58" s="91" t="s">
        <v>49</v>
      </c>
      <c r="F58" s="231">
        <f>I54</f>
        <v>14777.591666666667</v>
      </c>
      <c r="G58" s="89" t="s">
        <v>43</v>
      </c>
      <c r="H58" s="90" t="s">
        <v>0</v>
      </c>
      <c r="I58" s="227">
        <f>F58*M11</f>
        <v>17585.334083333331</v>
      </c>
      <c r="J58" s="13"/>
      <c r="K58" s="225"/>
      <c r="L58" s="226"/>
    </row>
    <row r="59" spans="2:19" ht="39.200000000000003" customHeight="1" x14ac:dyDescent="0.25">
      <c r="B59" s="3"/>
      <c r="C59" s="3"/>
      <c r="D59" s="3"/>
      <c r="E59" s="3"/>
      <c r="F59" s="3"/>
      <c r="G59" s="12"/>
      <c r="H59" s="3"/>
      <c r="I59" s="177"/>
      <c r="J59" s="13"/>
    </row>
    <row r="61" spans="2:19" x14ac:dyDescent="0.25">
      <c r="F61" s="11"/>
      <c r="G61" s="2"/>
    </row>
  </sheetData>
  <sheetProtection sheet="1" objects="1" scenarios="1"/>
  <mergeCells count="25">
    <mergeCell ref="B2:I2"/>
    <mergeCell ref="B3:C3"/>
    <mergeCell ref="D3:E3"/>
    <mergeCell ref="F4:I4"/>
    <mergeCell ref="F9:G9"/>
    <mergeCell ref="E7:E9"/>
    <mergeCell ref="H9:I9"/>
    <mergeCell ref="F5:I8"/>
    <mergeCell ref="D7:D9"/>
    <mergeCell ref="B48:C48"/>
    <mergeCell ref="M49:N49"/>
    <mergeCell ref="M50:N50"/>
    <mergeCell ref="B58:D58"/>
    <mergeCell ref="K16:Q16"/>
    <mergeCell ref="H16:I16"/>
    <mergeCell ref="B44:G44"/>
    <mergeCell ref="B47:C47"/>
    <mergeCell ref="M47:N47"/>
    <mergeCell ref="M48:N48"/>
    <mergeCell ref="B51:C51"/>
    <mergeCell ref="B49:C49"/>
    <mergeCell ref="B50:C50"/>
    <mergeCell ref="K55:S57"/>
    <mergeCell ref="B53:G53"/>
    <mergeCell ref="B52:C52"/>
  </mergeCells>
  <phoneticPr fontId="0" type="noConversion"/>
  <printOptions headings="1"/>
  <pageMargins left="0.70866141732283472" right="0.31496062992125984" top="0.39370078740157483" bottom="0.51181102362204722" header="0.31496062992125984" footer="0.31496062992125984"/>
  <pageSetup paperSize="9" scale="63" orientation="portrait" verticalDpi="1200" r:id="rId1"/>
  <headerFooter>
    <oddFooter>&amp;L&amp;F&amp;C&amp;A&amp;R&amp;D</oddFooter>
  </headerFooter>
  <rowBreaks count="1" manualBreakCount="1">
    <brk id="58"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12</vt:i4>
      </vt:variant>
    </vt:vector>
  </HeadingPairs>
  <TitlesOfParts>
    <vt:vector size="25" baseType="lpstr">
      <vt:lpstr>Info</vt:lpstr>
      <vt:lpstr>0 leer</vt:lpstr>
      <vt:lpstr>1_PP 2021</vt:lpstr>
      <vt:lpstr>2b_SP m. RF</vt:lpstr>
      <vt:lpstr>1_PP  2022</vt:lpstr>
      <vt:lpstr>2_SchulP</vt:lpstr>
      <vt:lpstr>3a_ZStmFo_Reg</vt:lpstr>
      <vt:lpstr>3b_ZStmFo_Pau</vt:lpstr>
      <vt:lpstr>4a_ FoAufz.Reg</vt:lpstr>
      <vt:lpstr>4b_ FoAufz.Pau</vt:lpstr>
      <vt:lpstr>4 FoAufz Aukt.</vt:lpstr>
      <vt:lpstr>4 FoAufz Aukt. (2)</vt:lpstr>
      <vt:lpstr>5_MwSt.</vt:lpstr>
      <vt:lpstr>'0 leer'!Druckbereich</vt:lpstr>
      <vt:lpstr>'1_PP  2022'!Druckbereich</vt:lpstr>
      <vt:lpstr>'1_PP 2021'!Druckbereich</vt:lpstr>
      <vt:lpstr>'2_SchulP'!Druckbereich</vt:lpstr>
      <vt:lpstr>'2b_SP m. RF'!Druckbereich</vt:lpstr>
      <vt:lpstr>'3a_ZStmFo_Reg'!Druckbereich</vt:lpstr>
      <vt:lpstr>'3b_ZStmFo_Pau'!Druckbereich</vt:lpstr>
      <vt:lpstr>'4 FoAufz Aukt.'!Druckbereich</vt:lpstr>
      <vt:lpstr>'4 FoAufz Aukt. (2)'!Druckbereich</vt:lpstr>
      <vt:lpstr>'4a_ FoAufz.Reg'!Druckbereich</vt:lpstr>
      <vt:lpstr>'4b_ FoAufz.Pau'!Druckbereich</vt:lpstr>
      <vt:lpstr>'5_MwSt.'!Druckbereich</vt:lpstr>
    </vt:vector>
  </TitlesOfParts>
  <Company>LEL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Vollkostenrechnung Pensionspferde und Schulpferde</dc:title>
  <dc:subject>Pferdehaltung, Pensionspferde, Schulpferde, Zuchtstute, Fohlenaufzucht, Wirtschaftlichkeit, Deckungsbeitrag, Vollkosten</dc:subject>
  <dc:creator>Segger, Volker</dc:creator>
  <cp:keywords>Pensionspferde, Schulpferde, Deckungsbeitrag, Stallmiete, Vollkosten</cp:keywords>
  <cp:lastModifiedBy>Baum, Gabriel (LEL-SG)</cp:lastModifiedBy>
  <cp:lastPrinted>2022-09-10T14:20:05Z</cp:lastPrinted>
  <dcterms:created xsi:type="dcterms:W3CDTF">2005-11-17T12:19:18Z</dcterms:created>
  <dcterms:modified xsi:type="dcterms:W3CDTF">2022-09-30T16:20:27Z</dcterms:modified>
  <cp:category>Pferde, Wirtschaftlichkeit</cp:category>
</cp:coreProperties>
</file>